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46" yWindow="65416" windowWidth="15180" windowHeight="8835" activeTab="0"/>
  </bookViews>
  <sheets>
    <sheet name="2007 Balance Aziz " sheetId="1" r:id="rId1"/>
  </sheets>
  <definedNames/>
  <calcPr fullCalcOnLoad="1"/>
</workbook>
</file>

<file path=xl/sharedStrings.xml><?xml version="1.0" encoding="utf-8"?>
<sst xmlns="http://schemas.openxmlformats.org/spreadsheetml/2006/main" count="1197" uniqueCount="238">
  <si>
    <t>Date</t>
  </si>
  <si>
    <t>AZIZ VRR</t>
  </si>
  <si>
    <t>TOTAL</t>
  </si>
  <si>
    <t>Balance</t>
  </si>
  <si>
    <t>Memo</t>
  </si>
  <si>
    <t>Interest</t>
  </si>
  <si>
    <t>Aziz Balance</t>
  </si>
  <si>
    <t>Fuel</t>
  </si>
  <si>
    <t>Repairs</t>
  </si>
  <si>
    <t>Cash</t>
  </si>
  <si>
    <t>Other</t>
  </si>
  <si>
    <t>Days</t>
  </si>
  <si>
    <t>Repairs/Parts</t>
  </si>
  <si>
    <t xml:space="preserve">Loan </t>
  </si>
  <si>
    <t>Invoices</t>
  </si>
  <si>
    <t>Commissions</t>
  </si>
  <si>
    <t>Komissiya</t>
  </si>
  <si>
    <t>Supplies</t>
  </si>
  <si>
    <t xml:space="preserve">2nd shipment </t>
  </si>
  <si>
    <t xml:space="preserve">1st shipment </t>
  </si>
  <si>
    <t>Moscow +6%</t>
  </si>
  <si>
    <t>Vladivostok + 5%</t>
  </si>
  <si>
    <t>Quota</t>
  </si>
  <si>
    <t>2006 Balance</t>
  </si>
  <si>
    <t>Zatraty s 1-1-2007</t>
  </si>
  <si>
    <t>Elmed</t>
  </si>
  <si>
    <t>Simar</t>
  </si>
  <si>
    <t>GS cash master</t>
  </si>
  <si>
    <t>petr Kamchatskiy cash + 5%</t>
  </si>
  <si>
    <t xml:space="preserve">1 shipment </t>
  </si>
  <si>
    <t>Stratos</t>
  </si>
  <si>
    <t>Toplivo</t>
  </si>
  <si>
    <t>100% loan reduction</t>
  </si>
  <si>
    <t>Palmtex</t>
  </si>
  <si>
    <t>Nysco</t>
  </si>
  <si>
    <t>Elgtrade</t>
  </si>
  <si>
    <t>Magadan+5%</t>
  </si>
  <si>
    <t>Global Star</t>
  </si>
  <si>
    <t>supplies</t>
  </si>
  <si>
    <t>CB Industrial</t>
  </si>
  <si>
    <t>Unitrade</t>
  </si>
  <si>
    <t>2 shipment Popov</t>
  </si>
  <si>
    <t xml:space="preserve">2 shipment </t>
  </si>
  <si>
    <t>2nd shipment  Popov</t>
  </si>
  <si>
    <t>1st Return</t>
  </si>
  <si>
    <t>KTI</t>
  </si>
  <si>
    <t>Other Carges</t>
  </si>
  <si>
    <t>Herring</t>
  </si>
  <si>
    <t>Sakhalinskiy Rybak</t>
  </si>
  <si>
    <t>Propusck Moscow +6% 22.11.06</t>
  </si>
  <si>
    <t xml:space="preserve">3 shipment </t>
  </si>
  <si>
    <t>Zaliv Avachinskiy Wire</t>
  </si>
  <si>
    <t>Opon Interest</t>
  </si>
  <si>
    <t>Popov interest</t>
  </si>
  <si>
    <t>Popov penalty</t>
  </si>
  <si>
    <t>Popov Kolhoz payment</t>
  </si>
  <si>
    <t xml:space="preserve">3rd shipment </t>
  </si>
  <si>
    <t>Sakhalin Ostatok</t>
  </si>
  <si>
    <t>Commissions 2005-2006</t>
  </si>
  <si>
    <t>Interest 2005-2006</t>
  </si>
  <si>
    <t>Other charges 2006</t>
  </si>
  <si>
    <t xml:space="preserve">100% loan reduction </t>
  </si>
  <si>
    <t>Propusk Fuel</t>
  </si>
  <si>
    <t>Accardert</t>
  </si>
  <si>
    <t>Japro</t>
  </si>
  <si>
    <t>Milt Trade</t>
  </si>
  <si>
    <t>Benertix</t>
  </si>
  <si>
    <t>Sold quota Centrinvestsbit</t>
  </si>
  <si>
    <t>4 shipment Popov</t>
  </si>
  <si>
    <t xml:space="preserve">4 shipment </t>
  </si>
  <si>
    <t xml:space="preserve">5 shipment </t>
  </si>
  <si>
    <t>6 shipment Popov</t>
  </si>
  <si>
    <t xml:space="preserve">6 shipment </t>
  </si>
  <si>
    <t>Commissions (GD,WD,LA,NA,OR)</t>
  </si>
  <si>
    <t xml:space="preserve">4th shipment </t>
  </si>
  <si>
    <t xml:space="preserve">5th shipment </t>
  </si>
  <si>
    <t xml:space="preserve">6th shipment </t>
  </si>
  <si>
    <t>4th shipment Popov</t>
  </si>
  <si>
    <t>6th shipment Popov</t>
  </si>
  <si>
    <t>1 shipment 20% cargo</t>
  </si>
  <si>
    <t>2 shipment Popov 20% cargo</t>
  </si>
  <si>
    <t>2 shipment 20% cargo</t>
  </si>
  <si>
    <t>3 shipment 20% cargo</t>
  </si>
  <si>
    <t>4 shipment Popov 20% cargo</t>
  </si>
  <si>
    <t>4 shipment 20% cargo</t>
  </si>
  <si>
    <t>5 shipment 20% cargo</t>
  </si>
  <si>
    <t>6 shipment Popov 20% cargo</t>
  </si>
  <si>
    <t>6 shipment 20% cargo</t>
  </si>
  <si>
    <t>East Fish</t>
  </si>
  <si>
    <t>Shipping Land</t>
  </si>
  <si>
    <t>Nakamura</t>
  </si>
  <si>
    <t>Spoldzielnia</t>
  </si>
  <si>
    <t>PTH Radcar</t>
  </si>
  <si>
    <t>Zaset</t>
  </si>
  <si>
    <t>Sarten (Aziz)</t>
  </si>
  <si>
    <t>Centrinvestsbit</t>
  </si>
  <si>
    <t>Commissions IK</t>
  </si>
  <si>
    <t>Kiev + 6%</t>
  </si>
  <si>
    <t xml:space="preserve">7 shipment </t>
  </si>
  <si>
    <t>7 shipment 20% cargo</t>
  </si>
  <si>
    <t>8 shipment 20% cargo</t>
  </si>
  <si>
    <t>9 shipment 20% cargo</t>
  </si>
  <si>
    <t>2nd Return</t>
  </si>
  <si>
    <t xml:space="preserve">8 shipment </t>
  </si>
  <si>
    <t>8 shipment Popov 20% cargo</t>
  </si>
  <si>
    <t>8 shipment Popov</t>
  </si>
  <si>
    <t xml:space="preserve">9 shipment </t>
  </si>
  <si>
    <t xml:space="preserve">7th shipment </t>
  </si>
  <si>
    <t xml:space="preserve">8th shipment </t>
  </si>
  <si>
    <t>8th shipment Popov</t>
  </si>
  <si>
    <t xml:space="preserve">9th shipment </t>
  </si>
  <si>
    <t>Zora Transas</t>
  </si>
  <si>
    <t>Sale herring for quota to IK</t>
  </si>
  <si>
    <t>Optimal Trading</t>
  </si>
  <si>
    <t>Sea Raven</t>
  </si>
  <si>
    <t>Strokun</t>
  </si>
  <si>
    <t>Walterson</t>
  </si>
  <si>
    <t xml:space="preserve">Northern Enterprise  </t>
  </si>
  <si>
    <t>Le Thi Mai</t>
  </si>
  <si>
    <t xml:space="preserve">10 shipment </t>
  </si>
  <si>
    <t>Alko Group</t>
  </si>
  <si>
    <t>Kamchatka Logistics Center</t>
  </si>
  <si>
    <t>Ukio - Shabashov</t>
  </si>
  <si>
    <t>Kamchatka Logistic Tsentr</t>
  </si>
  <si>
    <t xml:space="preserve">10th shipment </t>
  </si>
  <si>
    <t xml:space="preserve">11 shipment </t>
  </si>
  <si>
    <t xml:space="preserve">11th shipment </t>
  </si>
  <si>
    <t>Sociedad pesquera</t>
  </si>
  <si>
    <t>Elme</t>
  </si>
  <si>
    <t>CB industrial</t>
  </si>
  <si>
    <t>Von Bismark</t>
  </si>
  <si>
    <t xml:space="preserve">12 shipment </t>
  </si>
  <si>
    <t xml:space="preserve">12th shipment </t>
  </si>
  <si>
    <t xml:space="preserve">13th shipment </t>
  </si>
  <si>
    <t xml:space="preserve">13 shipment </t>
  </si>
  <si>
    <t>Simar Shipping</t>
  </si>
  <si>
    <t>PHAM TUYET AN</t>
  </si>
  <si>
    <t>Hepel Poland</t>
  </si>
  <si>
    <t>Baytik Decor</t>
  </si>
  <si>
    <t xml:space="preserve">14th shipment </t>
  </si>
  <si>
    <t xml:space="preserve">14 shipment </t>
  </si>
  <si>
    <t>per Borya</t>
  </si>
  <si>
    <t>Betta &amp; Co</t>
  </si>
  <si>
    <t>1602818/Borya</t>
  </si>
  <si>
    <t xml:space="preserve">15 shipment </t>
  </si>
  <si>
    <t>for Ozersk</t>
  </si>
  <si>
    <t>International ship registry</t>
  </si>
  <si>
    <t>Pham Tuyet An</t>
  </si>
  <si>
    <t xml:space="preserve">16 shipment </t>
  </si>
  <si>
    <t xml:space="preserve">15th shipment </t>
  </si>
  <si>
    <t xml:space="preserve">16th shipment </t>
  </si>
  <si>
    <t>Perevody, interest</t>
  </si>
  <si>
    <t>Polar Marine</t>
  </si>
  <si>
    <t>for Borya</t>
  </si>
  <si>
    <t xml:space="preserve">17 shipment </t>
  </si>
  <si>
    <t xml:space="preserve">17th shipment </t>
  </si>
  <si>
    <t>Travel Yana for phones</t>
  </si>
  <si>
    <t xml:space="preserve"> </t>
  </si>
  <si>
    <t>Litoral Food for Payroll</t>
  </si>
  <si>
    <t>Imchin</t>
  </si>
  <si>
    <t>Slavyanskiy Zavod</t>
  </si>
  <si>
    <t xml:space="preserve">18 shipment </t>
  </si>
  <si>
    <t xml:space="preserve">18th shipment </t>
  </si>
  <si>
    <t xml:space="preserve">19 shipment </t>
  </si>
  <si>
    <t xml:space="preserve">20 shipment </t>
  </si>
  <si>
    <t xml:space="preserve">21 shipment </t>
  </si>
  <si>
    <t xml:space="preserve">22 shipment </t>
  </si>
  <si>
    <t xml:space="preserve">23 shipment </t>
  </si>
  <si>
    <t xml:space="preserve">19th shipment </t>
  </si>
  <si>
    <t xml:space="preserve">20th shipment </t>
  </si>
  <si>
    <t xml:space="preserve">21st shipment </t>
  </si>
  <si>
    <t xml:space="preserve">22nd shipment </t>
  </si>
  <si>
    <t xml:space="preserve">23rd shipment </t>
  </si>
  <si>
    <t>Lapaloma Sale</t>
  </si>
  <si>
    <t>Rent Omega-1</t>
  </si>
  <si>
    <t>Registry Ozersk</t>
  </si>
  <si>
    <t>OOO Deks</t>
  </si>
  <si>
    <t>Shabashova</t>
  </si>
  <si>
    <t xml:space="preserve">CB Industrial </t>
  </si>
  <si>
    <t>IMCHIN</t>
  </si>
  <si>
    <t xml:space="preserve">Litoral 320000 payroll </t>
  </si>
  <si>
    <t>Litoral 70000 quota opillio</t>
  </si>
  <si>
    <t>Litoral</t>
  </si>
  <si>
    <t>Litoral Ustrichnoe</t>
  </si>
  <si>
    <t>Alexander Annenkov</t>
  </si>
  <si>
    <t>Littoral Foods</t>
  </si>
  <si>
    <t>Contract Natalya</t>
  </si>
  <si>
    <t>Seoil</t>
  </si>
  <si>
    <t>L&amp;S Partners Shabashov</t>
  </si>
  <si>
    <t xml:space="preserve">Torgovyi Dom </t>
  </si>
  <si>
    <t>Alex Annenkov</t>
  </si>
  <si>
    <t>ispravleno (ubrala iz balansa)</t>
  </si>
  <si>
    <t>Moscow</t>
  </si>
  <si>
    <t>Stokun</t>
  </si>
  <si>
    <t>Littoral</t>
  </si>
  <si>
    <t>Elmed for Kozlov company</t>
  </si>
  <si>
    <t>Centrinvestsbit for Ustrichnoe</t>
  </si>
  <si>
    <t>L&amp;S Partners</t>
  </si>
  <si>
    <t>Torgovyi Dom</t>
  </si>
  <si>
    <t>Song Gab Jun/ inspection</t>
  </si>
  <si>
    <t>Torgovi Dom</t>
  </si>
  <si>
    <t xml:space="preserve">24 shipment </t>
  </si>
  <si>
    <t xml:space="preserve">25 shipment </t>
  </si>
  <si>
    <t xml:space="preserve">26 shipment </t>
  </si>
  <si>
    <t xml:space="preserve">27 shipment </t>
  </si>
  <si>
    <t xml:space="preserve">28 shipment </t>
  </si>
  <si>
    <t xml:space="preserve">29 shipment </t>
  </si>
  <si>
    <t xml:space="preserve">24th shipment </t>
  </si>
  <si>
    <t xml:space="preserve">25th shipment </t>
  </si>
  <si>
    <t xml:space="preserve">26th shipment </t>
  </si>
  <si>
    <t xml:space="preserve">27th shipment </t>
  </si>
  <si>
    <t xml:space="preserve">28th shipment </t>
  </si>
  <si>
    <t xml:space="preserve">29th shipment </t>
  </si>
  <si>
    <t>MV PSK Marine</t>
  </si>
  <si>
    <t>Pac Pong deposit PSK Marine</t>
  </si>
  <si>
    <t>freight Amega</t>
  </si>
  <si>
    <t>Bercount</t>
  </si>
  <si>
    <t>Deks Zotov freight</t>
  </si>
  <si>
    <t>Litoral for Ustrichnoe</t>
  </si>
  <si>
    <t>Remkomtorg</t>
  </si>
  <si>
    <t>PSK Marine - vessel</t>
  </si>
  <si>
    <t>Pattana Pakpong -vessel</t>
  </si>
  <si>
    <t xml:space="preserve">Cord Group Ozersk Immarsat </t>
  </si>
  <si>
    <t xml:space="preserve">Centrinvestsbit for Ustrichnoe </t>
  </si>
  <si>
    <t>Japan import charge 2006</t>
  </si>
  <si>
    <t>parts Vladivostok</t>
  </si>
  <si>
    <t>Centrinvestsbit quota</t>
  </si>
  <si>
    <t>Zora Pacific</t>
  </si>
  <si>
    <t>Centrinvestsbit for Sea Raven</t>
  </si>
  <si>
    <t>Sako 50K+10K commissions</t>
  </si>
  <si>
    <t xml:space="preserve">30 shipment </t>
  </si>
  <si>
    <t xml:space="preserve">30th shipment </t>
  </si>
  <si>
    <t xml:space="preserve">31st shipment </t>
  </si>
  <si>
    <t xml:space="preserve">32nd shipment </t>
  </si>
  <si>
    <t xml:space="preserve">33rd shipment </t>
  </si>
  <si>
    <t xml:space="preserve">31 shipment </t>
  </si>
  <si>
    <t xml:space="preserve">32 shipment </t>
  </si>
  <si>
    <t xml:space="preserve">33 shipment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</si>
</sst>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0;\-#,##0.00"/>
    <numFmt numFmtId="166" formatCode="0.00000000"/>
    <numFmt numFmtId="167" formatCode="mmm\-yyyy"/>
    <numFmt numFmtId="168" formatCode="0.00000"/>
    <numFmt numFmtId="169" formatCode="0.0000"/>
    <numFmt numFmtId="170" formatCode="0.000000000000"/>
    <numFmt numFmtId="171" formatCode="0.00000000000"/>
    <numFmt numFmtId="172" formatCode="0.000000000"/>
    <numFmt numFmtId="173" formatCode="#,##0.0000000"/>
    <numFmt numFmtId="174" formatCode="0.000"/>
    <numFmt numFmtId="175" formatCode="_(&quot;$&quot;* #,##0.000_);_(&quot;$&quot;* \(#,##0.000\);_(&quot;$&quot;* &quot;-&quot;??_);_(@_)"/>
    <numFmt numFmtId="176" formatCode="_(&quot;$&quot;* #,##0.0000_);_(&quot;$&quot;* \(#,##0.0000\);_(&quot;$&quot;* &quot;-&quot;??_);_(@_)"/>
    <numFmt numFmtId="177" formatCode="_(&quot;$&quot;* #,##0.000_);_(&quot;$&quot;* \(#,##0.000\);_(&quot;$&quot;* &quot;-&quot;???_);_(@_)"/>
    <numFmt numFmtId="178" formatCode="_(* #,##0.000_);_(* \(#,##0.000\);_(* &quot;-&quot;???_);_(@_)"/>
    <numFmt numFmtId="179" formatCode="0.000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0.0000000000"/>
    <numFmt numFmtId="187" formatCode="#,##0.000;\-#,##0.000"/>
    <numFmt numFmtId="188" formatCode="#,##0.0000;\-#,##0.0000"/>
    <numFmt numFmtId="189" formatCode="#,##0.00000;\-#,##0.00000"/>
    <numFmt numFmtId="190" formatCode="#,##0.000"/>
    <numFmt numFmtId="191" formatCode="[$-409]dddd\,\ mmmm\ dd\,\ yyyy"/>
    <numFmt numFmtId="192" formatCode="mm/dd/yy;@"/>
  </numFmts>
  <fonts count="13">
    <font>
      <sz val="10"/>
      <name val="Arial"/>
      <family val="0"/>
    </font>
    <font>
      <b/>
      <sz val="8"/>
      <name val="Arial"/>
      <family val="2"/>
    </font>
    <font>
      <b/>
      <sz val="8"/>
      <color indexed="8"/>
      <name val="Arial"/>
      <family val="2"/>
    </font>
    <font>
      <sz val="8"/>
      <name val="Arial"/>
      <family val="2"/>
    </font>
    <font>
      <sz val="8"/>
      <color indexed="8"/>
      <name val="Arial"/>
      <family val="2"/>
    </font>
    <font>
      <u val="single"/>
      <sz val="10"/>
      <color indexed="12"/>
      <name val="Arial"/>
      <family val="0"/>
    </font>
    <font>
      <u val="single"/>
      <sz val="10"/>
      <color indexed="36"/>
      <name val="Arial"/>
      <family val="0"/>
    </font>
    <font>
      <sz val="9"/>
      <name val="Arial"/>
      <family val="2"/>
    </font>
    <font>
      <b/>
      <sz val="9"/>
      <name val="ARIAL"/>
      <family val="2"/>
    </font>
    <font>
      <b/>
      <sz val="8"/>
      <color indexed="17"/>
      <name val="Arial"/>
      <family val="2"/>
    </font>
    <font>
      <sz val="8"/>
      <color indexed="12"/>
      <name val="Arial"/>
      <family val="0"/>
    </font>
    <font>
      <b/>
      <sz val="8"/>
      <color indexed="12"/>
      <name val="Arial"/>
      <family val="0"/>
    </font>
    <font>
      <b/>
      <sz val="8"/>
      <color indexed="10"/>
      <name val="Arial"/>
      <family val="2"/>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thick"/>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49" fontId="2" fillId="0" borderId="0" xfId="0" applyNumberFormat="1" applyFont="1" applyAlignment="1">
      <alignment/>
    </xf>
    <xf numFmtId="165" fontId="2" fillId="0" borderId="0" xfId="0" applyNumberFormat="1" applyFont="1" applyAlignment="1">
      <alignment/>
    </xf>
    <xf numFmtId="164" fontId="4" fillId="0" borderId="0" xfId="0" applyNumberFormat="1" applyFont="1" applyAlignment="1">
      <alignment/>
    </xf>
    <xf numFmtId="165" fontId="4" fillId="0" borderId="0" xfId="0" applyNumberFormat="1" applyFont="1" applyAlignment="1">
      <alignment/>
    </xf>
    <xf numFmtId="49" fontId="2" fillId="0" borderId="1" xfId="0" applyNumberFormat="1" applyFont="1" applyBorder="1" applyAlignment="1">
      <alignment horizontal="center"/>
    </xf>
    <xf numFmtId="0" fontId="3" fillId="0" borderId="0" xfId="0" applyFont="1" applyAlignment="1">
      <alignment/>
    </xf>
    <xf numFmtId="44" fontId="3" fillId="0" borderId="0" xfId="17" applyFont="1" applyAlignment="1">
      <alignment/>
    </xf>
    <xf numFmtId="4" fontId="0" fillId="0" borderId="0" xfId="0" applyNumberFormat="1" applyAlignment="1">
      <alignment/>
    </xf>
    <xf numFmtId="4" fontId="3" fillId="0" borderId="0" xfId="0" applyNumberFormat="1" applyFont="1" applyAlignment="1">
      <alignment/>
    </xf>
    <xf numFmtId="0" fontId="1" fillId="0" borderId="0" xfId="0" applyFont="1" applyAlignment="1">
      <alignment/>
    </xf>
    <xf numFmtId="4" fontId="3" fillId="0" borderId="0" xfId="0" applyNumberFormat="1" applyFont="1" applyFill="1" applyAlignment="1">
      <alignment/>
    </xf>
    <xf numFmtId="0" fontId="3" fillId="0" borderId="0" xfId="0" applyNumberFormat="1" applyFont="1" applyFill="1" applyAlignment="1">
      <alignment/>
    </xf>
    <xf numFmtId="49" fontId="4" fillId="0" borderId="0" xfId="0" applyNumberFormat="1" applyFont="1" applyFill="1" applyAlignment="1">
      <alignment/>
    </xf>
    <xf numFmtId="164" fontId="4" fillId="0" borderId="0" xfId="0" applyNumberFormat="1" applyFont="1" applyAlignment="1">
      <alignment/>
    </xf>
    <xf numFmtId="165" fontId="4" fillId="0" borderId="0" xfId="0" applyNumberFormat="1" applyFont="1" applyFill="1" applyBorder="1" applyAlignment="1">
      <alignment/>
    </xf>
    <xf numFmtId="49" fontId="2" fillId="0" borderId="1" xfId="0" applyNumberFormat="1" applyFont="1" applyFill="1" applyBorder="1" applyAlignment="1">
      <alignment horizontal="center"/>
    </xf>
    <xf numFmtId="165" fontId="4" fillId="0" borderId="0" xfId="0" applyNumberFormat="1" applyFont="1" applyFill="1" applyAlignment="1">
      <alignment/>
    </xf>
    <xf numFmtId="0" fontId="0" fillId="0" borderId="0" xfId="0" applyNumberFormat="1" applyFill="1" applyAlignment="1">
      <alignment/>
    </xf>
    <xf numFmtId="0" fontId="3" fillId="0" borderId="0" xfId="0" applyFont="1" applyFill="1" applyAlignment="1">
      <alignment/>
    </xf>
    <xf numFmtId="4" fontId="1" fillId="0" borderId="0" xfId="0" applyNumberFormat="1" applyFont="1" applyFill="1" applyAlignment="1">
      <alignment/>
    </xf>
    <xf numFmtId="165" fontId="3" fillId="0" borderId="0" xfId="0" applyNumberFormat="1" applyFont="1" applyFill="1" applyAlignment="1">
      <alignment/>
    </xf>
    <xf numFmtId="0" fontId="3" fillId="0" borderId="0" xfId="0" applyFont="1" applyFill="1" applyBorder="1" applyAlignment="1">
      <alignment/>
    </xf>
    <xf numFmtId="164" fontId="4" fillId="0" borderId="0" xfId="0" applyNumberFormat="1" applyFont="1" applyFill="1" applyAlignment="1">
      <alignment/>
    </xf>
    <xf numFmtId="49" fontId="2" fillId="0" borderId="0" xfId="0" applyNumberFormat="1" applyFont="1" applyBorder="1" applyAlignment="1">
      <alignment horizontal="center"/>
    </xf>
    <xf numFmtId="165" fontId="4" fillId="0" borderId="0" xfId="0" applyNumberFormat="1" applyFont="1" applyFill="1" applyAlignment="1">
      <alignment/>
    </xf>
    <xf numFmtId="165" fontId="4" fillId="0" borderId="0" xfId="0" applyNumberFormat="1" applyFont="1" applyFill="1" applyBorder="1" applyAlignment="1">
      <alignment/>
    </xf>
    <xf numFmtId="0" fontId="7" fillId="0" borderId="0" xfId="0" applyNumberFormat="1" applyFont="1" applyFill="1" applyAlignment="1">
      <alignment/>
    </xf>
    <xf numFmtId="0" fontId="7" fillId="0" borderId="0" xfId="0" applyFont="1" applyFill="1" applyAlignment="1">
      <alignment/>
    </xf>
    <xf numFmtId="165" fontId="2" fillId="0" borderId="0" xfId="0" applyNumberFormat="1" applyFont="1" applyFill="1" applyAlignment="1">
      <alignment/>
    </xf>
    <xf numFmtId="49" fontId="2" fillId="0" borderId="0" xfId="0" applyNumberFormat="1" applyFont="1" applyFill="1" applyAlignment="1">
      <alignment/>
    </xf>
    <xf numFmtId="0" fontId="9" fillId="0" borderId="0" xfId="0" applyFont="1" applyFill="1" applyAlignment="1">
      <alignment/>
    </xf>
    <xf numFmtId="165" fontId="9" fillId="0" borderId="0" xfId="0" applyNumberFormat="1" applyFont="1" applyFill="1" applyAlignment="1">
      <alignment/>
    </xf>
    <xf numFmtId="165" fontId="9" fillId="0" borderId="0" xfId="0" applyNumberFormat="1" applyFont="1" applyFill="1" applyBorder="1" applyAlignment="1">
      <alignment/>
    </xf>
    <xf numFmtId="0" fontId="0" fillId="0" borderId="0" xfId="0" applyFill="1" applyAlignment="1">
      <alignment/>
    </xf>
    <xf numFmtId="44" fontId="3" fillId="0" borderId="0" xfId="17" applyFont="1" applyFill="1" applyAlignment="1">
      <alignment/>
    </xf>
    <xf numFmtId="0" fontId="1" fillId="0" borderId="0" xfId="0" applyFont="1" applyFill="1" applyAlignment="1">
      <alignment horizontal="center"/>
    </xf>
    <xf numFmtId="43" fontId="7" fillId="0" borderId="0" xfId="15" applyFont="1" applyFill="1" applyAlignment="1">
      <alignment/>
    </xf>
    <xf numFmtId="165" fontId="7" fillId="0" borderId="0" xfId="0" applyNumberFormat="1" applyFont="1" applyFill="1" applyAlignment="1">
      <alignment/>
    </xf>
    <xf numFmtId="43" fontId="8" fillId="0" borderId="0" xfId="15" applyFont="1" applyFill="1" applyAlignment="1">
      <alignment/>
    </xf>
    <xf numFmtId="14" fontId="8" fillId="0" borderId="0" xfId="0" applyNumberFormat="1" applyFont="1" applyFill="1" applyAlignment="1">
      <alignment/>
    </xf>
    <xf numFmtId="43" fontId="3" fillId="0" borderId="0" xfId="15" applyFont="1" applyBorder="1" applyAlignment="1">
      <alignment/>
    </xf>
    <xf numFmtId="43" fontId="3" fillId="0" borderId="0" xfId="0" applyNumberFormat="1" applyFont="1" applyBorder="1" applyAlignment="1">
      <alignment/>
    </xf>
    <xf numFmtId="43" fontId="3" fillId="0" borderId="0" xfId="15" applyFont="1" applyFill="1" applyAlignment="1">
      <alignment/>
    </xf>
    <xf numFmtId="2" fontId="3" fillId="0" borderId="0" xfId="0" applyNumberFormat="1" applyFont="1" applyFill="1" applyAlignment="1">
      <alignment/>
    </xf>
    <xf numFmtId="0" fontId="8" fillId="0" borderId="0" xfId="0" applyNumberFormat="1" applyFont="1" applyFill="1" applyAlignment="1">
      <alignment horizontal="center"/>
    </xf>
    <xf numFmtId="165" fontId="3" fillId="0" borderId="0" xfId="0" applyNumberFormat="1" applyFont="1" applyFill="1" applyBorder="1" applyAlignment="1">
      <alignment/>
    </xf>
    <xf numFmtId="49" fontId="4" fillId="0" borderId="0" xfId="0" applyNumberFormat="1" applyFont="1" applyAlignment="1">
      <alignment/>
    </xf>
    <xf numFmtId="165" fontId="4" fillId="0" borderId="0" xfId="0" applyNumberFormat="1" applyFont="1" applyAlignment="1">
      <alignment/>
    </xf>
    <xf numFmtId="165" fontId="4" fillId="0" borderId="0" xfId="0" applyNumberFormat="1" applyFont="1" applyBorder="1" applyAlignment="1">
      <alignment/>
    </xf>
    <xf numFmtId="43" fontId="7" fillId="0" borderId="0" xfId="0" applyNumberFormat="1" applyFont="1" applyFill="1" applyAlignment="1">
      <alignment/>
    </xf>
    <xf numFmtId="165" fontId="0" fillId="0" borderId="0" xfId="0" applyNumberFormat="1" applyAlignment="1">
      <alignment/>
    </xf>
    <xf numFmtId="43" fontId="8" fillId="2" borderId="0" xfId="15" applyFont="1" applyFill="1" applyAlignment="1">
      <alignment/>
    </xf>
    <xf numFmtId="0" fontId="10" fillId="0" borderId="0" xfId="0" applyFont="1" applyFill="1" applyAlignment="1">
      <alignment/>
    </xf>
    <xf numFmtId="165" fontId="10" fillId="0" borderId="0" xfId="0" applyNumberFormat="1" applyFont="1" applyFill="1" applyAlignment="1">
      <alignment/>
    </xf>
    <xf numFmtId="0" fontId="11" fillId="0" borderId="0" xfId="0" applyFont="1" applyFill="1" applyAlignment="1">
      <alignment/>
    </xf>
    <xf numFmtId="165" fontId="11" fillId="0" borderId="0" xfId="0" applyNumberFormat="1" applyFont="1" applyFill="1" applyAlignment="1">
      <alignment/>
    </xf>
    <xf numFmtId="49" fontId="11" fillId="0" borderId="0" xfId="0" applyNumberFormat="1" applyFont="1" applyAlignment="1">
      <alignment/>
    </xf>
    <xf numFmtId="49" fontId="3" fillId="0" borderId="0" xfId="0" applyNumberFormat="1" applyFont="1" applyAlignment="1">
      <alignment/>
    </xf>
    <xf numFmtId="49" fontId="2" fillId="0" borderId="0" xfId="0" applyNumberFormat="1" applyFont="1" applyFill="1" applyAlignment="1">
      <alignment/>
    </xf>
    <xf numFmtId="165" fontId="11" fillId="0" borderId="0" xfId="0" applyNumberFormat="1" applyFont="1" applyFill="1" applyAlignment="1">
      <alignment/>
    </xf>
    <xf numFmtId="165" fontId="11" fillId="0" borderId="0" xfId="0" applyNumberFormat="1" applyFont="1" applyFill="1" applyAlignment="1">
      <alignment/>
    </xf>
    <xf numFmtId="0" fontId="3" fillId="2" borderId="0" xfId="0" applyFont="1" applyFill="1" applyAlignment="1">
      <alignment/>
    </xf>
    <xf numFmtId="49" fontId="4" fillId="0" borderId="0" xfId="0" applyNumberFormat="1" applyFont="1" applyFill="1" applyAlignment="1">
      <alignment/>
    </xf>
    <xf numFmtId="43" fontId="1" fillId="0" borderId="0" xfId="15" applyFont="1" applyFill="1" applyAlignment="1">
      <alignment/>
    </xf>
    <xf numFmtId="43" fontId="7" fillId="0" borderId="2" xfId="15" applyFont="1" applyFill="1" applyBorder="1" applyAlignment="1">
      <alignment/>
    </xf>
    <xf numFmtId="44" fontId="0" fillId="0" borderId="0" xfId="17" applyAlignment="1">
      <alignment/>
    </xf>
    <xf numFmtId="44" fontId="0" fillId="0" borderId="0" xfId="17" applyFill="1" applyAlignment="1">
      <alignment/>
    </xf>
    <xf numFmtId="164" fontId="4" fillId="0" borderId="0" xfId="0" applyNumberFormat="1" applyFont="1" applyFill="1" applyAlignment="1">
      <alignment/>
    </xf>
    <xf numFmtId="0" fontId="3" fillId="0" borderId="0" xfId="0" applyFont="1" applyFill="1" applyAlignment="1">
      <alignment horizontal="left"/>
    </xf>
    <xf numFmtId="165" fontId="3" fillId="0" borderId="0" xfId="0" applyNumberFormat="1" applyFont="1" applyFill="1" applyAlignment="1">
      <alignment/>
    </xf>
    <xf numFmtId="165" fontId="12" fillId="0" borderId="0" xfId="0" applyNumberFormat="1" applyFont="1" applyFill="1" applyBorder="1" applyAlignment="1">
      <alignment/>
    </xf>
    <xf numFmtId="165" fontId="2" fillId="0" borderId="0" xfId="0" applyNumberFormat="1" applyFont="1" applyAlignment="1">
      <alignment/>
    </xf>
    <xf numFmtId="43" fontId="0" fillId="0" borderId="0" xfId="15" applyAlignment="1">
      <alignment/>
    </xf>
    <xf numFmtId="43" fontId="0" fillId="0" borderId="0" xfId="15" applyBorder="1" applyAlignment="1">
      <alignment/>
    </xf>
    <xf numFmtId="165" fontId="11" fillId="0" borderId="0" xfId="0" applyNumberFormat="1" applyFont="1" applyBorder="1" applyAlignment="1">
      <alignment/>
    </xf>
    <xf numFmtId="49" fontId="4" fillId="0" borderId="0" xfId="0" applyNumberFormat="1" applyFont="1" applyAlignment="1" quotePrefix="1">
      <alignment/>
    </xf>
    <xf numFmtId="164" fontId="4" fillId="2" borderId="0" xfId="0" applyNumberFormat="1" applyFont="1" applyFill="1" applyAlignment="1">
      <alignment/>
    </xf>
    <xf numFmtId="165" fontId="4" fillId="2" borderId="0" xfId="0" applyNumberFormat="1" applyFont="1" applyFill="1" applyAlignment="1">
      <alignment/>
    </xf>
    <xf numFmtId="0" fontId="9" fillId="2" borderId="0" xfId="0" applyFont="1" applyFill="1" applyAlignment="1">
      <alignment/>
    </xf>
    <xf numFmtId="165" fontId="9" fillId="2" borderId="0" xfId="0" applyNumberFormat="1" applyFont="1" applyFill="1" applyAlignment="1">
      <alignment/>
    </xf>
    <xf numFmtId="44" fontId="0" fillId="0" borderId="0" xfId="17" applyFont="1" applyAlignment="1">
      <alignment/>
    </xf>
    <xf numFmtId="2" fontId="0" fillId="0" borderId="0" xfId="0" applyNumberFormat="1" applyAlignment="1">
      <alignment/>
    </xf>
    <xf numFmtId="165" fontId="4" fillId="2" borderId="0" xfId="0" applyNumberFormat="1" applyFont="1" applyFill="1" applyBorder="1" applyAlignment="1">
      <alignment/>
    </xf>
    <xf numFmtId="49" fontId="4" fillId="2" borderId="0" xfId="0" applyNumberFormat="1" applyFont="1" applyFill="1" applyAlignment="1">
      <alignment/>
    </xf>
    <xf numFmtId="165" fontId="4" fillId="2"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96"/>
  <sheetViews>
    <sheetView tabSelected="1" workbookViewId="0" topLeftCell="A1">
      <pane xSplit="2" ySplit="1" topLeftCell="C1175" activePane="bottomRight" state="frozen"/>
      <selection pane="topLeft" activeCell="A1" sqref="A1"/>
      <selection pane="topRight" activeCell="A1" sqref="A1"/>
      <selection pane="bottomLeft" activeCell="A2" sqref="A2"/>
      <selection pane="bottomRight" activeCell="F1203" sqref="F1203"/>
    </sheetView>
  </sheetViews>
  <sheetFormatPr defaultColWidth="9.140625" defaultRowHeight="12.75"/>
  <cols>
    <col min="1" max="1" width="8.7109375" style="6" bestFit="1" customWidth="1"/>
    <col min="2" max="2" width="24.421875" style="19" bestFit="1" customWidth="1"/>
    <col min="3" max="3" width="12.57421875" style="19" customWidth="1"/>
    <col min="4" max="4" width="14.421875" style="19" bestFit="1" customWidth="1"/>
    <col min="5" max="5" width="14.140625" style="19" bestFit="1" customWidth="1"/>
    <col min="6" max="6" width="15.00390625" style="19" bestFit="1" customWidth="1"/>
    <col min="7" max="7" width="12.140625" style="19" bestFit="1" customWidth="1"/>
    <col min="8" max="8" width="12.57421875" style="19" bestFit="1" customWidth="1"/>
    <col min="9" max="9" width="15.00390625" style="19" hidden="1" customWidth="1"/>
    <col min="10" max="10" width="14.00390625" style="6" customWidth="1"/>
    <col min="11" max="11" width="4.7109375" style="6" bestFit="1" customWidth="1"/>
    <col min="12" max="12" width="15.00390625" style="0" bestFit="1" customWidth="1"/>
    <col min="13" max="13" width="16.7109375" style="66" bestFit="1" customWidth="1"/>
    <col min="14" max="14" width="12.140625" style="0" customWidth="1"/>
    <col min="15" max="15" width="16.140625" style="0" bestFit="1" customWidth="1"/>
  </cols>
  <sheetData>
    <row r="1" spans="1:12" ht="13.5" thickBot="1">
      <c r="A1" s="5" t="s">
        <v>0</v>
      </c>
      <c r="B1" s="16" t="s">
        <v>4</v>
      </c>
      <c r="C1" s="16" t="s">
        <v>14</v>
      </c>
      <c r="D1" s="16" t="s">
        <v>9</v>
      </c>
      <c r="E1" s="16" t="s">
        <v>7</v>
      </c>
      <c r="F1" s="16" t="s">
        <v>12</v>
      </c>
      <c r="G1" s="16" t="s">
        <v>10</v>
      </c>
      <c r="H1" s="16" t="s">
        <v>13</v>
      </c>
      <c r="I1" s="16" t="s">
        <v>5</v>
      </c>
      <c r="J1" s="5" t="s">
        <v>3</v>
      </c>
      <c r="K1" s="5" t="s">
        <v>11</v>
      </c>
      <c r="L1" s="5" t="s">
        <v>5</v>
      </c>
    </row>
    <row r="2" spans="1:12" ht="13.5" thickTop="1">
      <c r="A2" s="1" t="s">
        <v>1</v>
      </c>
      <c r="B2" s="30"/>
      <c r="C2" s="30"/>
      <c r="D2" s="30"/>
      <c r="E2" s="30"/>
      <c r="F2" s="30"/>
      <c r="G2" s="30"/>
      <c r="H2" s="30"/>
      <c r="I2" s="25"/>
      <c r="J2" s="24"/>
      <c r="K2" s="24"/>
      <c r="L2" s="24"/>
    </row>
    <row r="3" spans="1:12" ht="12.75">
      <c r="A3" s="3">
        <v>39083</v>
      </c>
      <c r="B3" s="30" t="s">
        <v>23</v>
      </c>
      <c r="C3" s="30"/>
      <c r="D3" s="12"/>
      <c r="E3" s="12"/>
      <c r="F3" s="12"/>
      <c r="I3" s="11"/>
      <c r="J3" s="20">
        <f>-54671001.71+28172916.82</f>
        <v>-26498084.89</v>
      </c>
      <c r="K3" s="6">
        <f>DATEDIF(A3,A4,"d")</f>
        <v>0</v>
      </c>
      <c r="L3" s="9">
        <f>J3*K3*0.2/365</f>
        <v>0</v>
      </c>
    </row>
    <row r="4" spans="1:12" ht="12.75">
      <c r="A4" s="14">
        <v>39083</v>
      </c>
      <c r="B4" s="47" t="s">
        <v>7</v>
      </c>
      <c r="E4" s="17">
        <v>-76807.5</v>
      </c>
      <c r="F4" s="31"/>
      <c r="G4" s="31"/>
      <c r="H4" s="32"/>
      <c r="J4" s="4">
        <f>J3+D4+E4+F4+G4+H4+I4</f>
        <v>-26574892.39</v>
      </c>
      <c r="K4" s="6">
        <f>DATEDIF(A4,A5,"d")</f>
        <v>0</v>
      </c>
      <c r="L4" s="9">
        <f>J4*K4*0.2/365</f>
        <v>0</v>
      </c>
    </row>
    <row r="5" spans="1:12" ht="12.75">
      <c r="A5" s="14">
        <v>39083</v>
      </c>
      <c r="B5" s="47" t="s">
        <v>7</v>
      </c>
      <c r="E5" s="17">
        <v>-85120</v>
      </c>
      <c r="F5" s="31"/>
      <c r="G5" s="31"/>
      <c r="H5" s="32"/>
      <c r="J5" s="4">
        <f aca="true" t="shared" si="0" ref="J5:J68">J4+D5+E5+F5+G5+H5+I5</f>
        <v>-26660012.39</v>
      </c>
      <c r="K5" s="6">
        <f aca="true" t="shared" si="1" ref="K5:K68">DATEDIF(A5,A6,"d")</f>
        <v>0</v>
      </c>
      <c r="L5" s="9">
        <f aca="true" t="shared" si="2" ref="L5:L68">J5*K5*0.2/365</f>
        <v>0</v>
      </c>
    </row>
    <row r="6" spans="1:12" ht="12.75">
      <c r="A6" s="14">
        <v>39083</v>
      </c>
      <c r="B6" s="47" t="s">
        <v>7</v>
      </c>
      <c r="E6" s="17">
        <v>-93100</v>
      </c>
      <c r="F6" s="31"/>
      <c r="G6" s="31"/>
      <c r="H6" s="32"/>
      <c r="J6" s="4">
        <f t="shared" si="0"/>
        <v>-26753112.39</v>
      </c>
      <c r="K6" s="6">
        <f t="shared" si="1"/>
        <v>0</v>
      </c>
      <c r="L6" s="9">
        <f t="shared" si="2"/>
        <v>0</v>
      </c>
    </row>
    <row r="7" spans="1:12" ht="12.75">
      <c r="A7" s="14">
        <v>39083</v>
      </c>
      <c r="B7" s="47" t="s">
        <v>7</v>
      </c>
      <c r="E7" s="17">
        <v>-83125</v>
      </c>
      <c r="F7" s="31"/>
      <c r="G7" s="31"/>
      <c r="H7" s="32"/>
      <c r="J7" s="4">
        <f t="shared" si="0"/>
        <v>-26836237.39</v>
      </c>
      <c r="K7" s="6">
        <f t="shared" si="1"/>
        <v>0</v>
      </c>
      <c r="L7" s="9">
        <f t="shared" si="2"/>
        <v>0</v>
      </c>
    </row>
    <row r="8" spans="1:12" ht="12.75">
      <c r="A8" s="14">
        <v>39083</v>
      </c>
      <c r="B8" s="47" t="s">
        <v>30</v>
      </c>
      <c r="E8" s="17"/>
      <c r="F8" s="31"/>
      <c r="G8" s="17">
        <v>-34102.48</v>
      </c>
      <c r="H8" s="32"/>
      <c r="J8" s="4">
        <f t="shared" si="0"/>
        <v>-26870339.87</v>
      </c>
      <c r="K8" s="6">
        <f t="shared" si="1"/>
        <v>0</v>
      </c>
      <c r="L8" s="9">
        <f t="shared" si="2"/>
        <v>0</v>
      </c>
    </row>
    <row r="9" spans="1:12" ht="12.75">
      <c r="A9" s="14">
        <v>39083</v>
      </c>
      <c r="B9" s="47" t="s">
        <v>37</v>
      </c>
      <c r="E9" s="17"/>
      <c r="F9" s="31"/>
      <c r="G9" s="17">
        <v>-5779.62</v>
      </c>
      <c r="H9" s="32"/>
      <c r="J9" s="4">
        <f t="shared" si="0"/>
        <v>-26876119.490000002</v>
      </c>
      <c r="K9" s="6">
        <f t="shared" si="1"/>
        <v>0</v>
      </c>
      <c r="L9" s="9">
        <f t="shared" si="2"/>
        <v>0</v>
      </c>
    </row>
    <row r="10" spans="1:12" ht="12.75">
      <c r="A10" s="14">
        <v>39083</v>
      </c>
      <c r="B10" s="47" t="s">
        <v>37</v>
      </c>
      <c r="E10" s="17"/>
      <c r="F10" s="31"/>
      <c r="G10" s="17">
        <v>-32.52</v>
      </c>
      <c r="H10" s="32"/>
      <c r="J10" s="4">
        <f t="shared" si="0"/>
        <v>-26876152.01</v>
      </c>
      <c r="K10" s="6">
        <f t="shared" si="1"/>
        <v>0</v>
      </c>
      <c r="L10" s="9">
        <f t="shared" si="2"/>
        <v>0</v>
      </c>
    </row>
    <row r="11" spans="1:12" ht="12.75">
      <c r="A11" s="14">
        <v>39083</v>
      </c>
      <c r="B11" s="47" t="s">
        <v>37</v>
      </c>
      <c r="E11" s="17"/>
      <c r="F11" s="31"/>
      <c r="G11" s="17">
        <v>-25.83</v>
      </c>
      <c r="H11" s="32"/>
      <c r="J11" s="4">
        <f t="shared" si="0"/>
        <v>-26876177.84</v>
      </c>
      <c r="K11" s="6">
        <f t="shared" si="1"/>
        <v>0</v>
      </c>
      <c r="L11" s="9">
        <f t="shared" si="2"/>
        <v>0</v>
      </c>
    </row>
    <row r="12" spans="1:12" ht="12.75">
      <c r="A12" s="14">
        <v>39083</v>
      </c>
      <c r="B12" s="47" t="s">
        <v>37</v>
      </c>
      <c r="E12" s="17"/>
      <c r="F12" s="31"/>
      <c r="G12" s="17">
        <v>-1630.87</v>
      </c>
      <c r="H12" s="32"/>
      <c r="J12" s="4">
        <f t="shared" si="0"/>
        <v>-26877808.71</v>
      </c>
      <c r="K12" s="6">
        <f t="shared" si="1"/>
        <v>0</v>
      </c>
      <c r="L12" s="9">
        <f t="shared" si="2"/>
        <v>0</v>
      </c>
    </row>
    <row r="13" spans="1:12" ht="12.75">
      <c r="A13" s="14">
        <v>39083</v>
      </c>
      <c r="B13" s="47" t="s">
        <v>37</v>
      </c>
      <c r="E13" s="17"/>
      <c r="F13" s="31"/>
      <c r="G13" s="17">
        <v>-146.5</v>
      </c>
      <c r="H13" s="32"/>
      <c r="J13" s="4">
        <f t="shared" si="0"/>
        <v>-26877955.21</v>
      </c>
      <c r="K13" s="6">
        <f t="shared" si="1"/>
        <v>0</v>
      </c>
      <c r="L13" s="9">
        <f t="shared" si="2"/>
        <v>0</v>
      </c>
    </row>
    <row r="14" spans="1:12" ht="12.75">
      <c r="A14" s="14">
        <v>39083</v>
      </c>
      <c r="B14" s="47" t="s">
        <v>37</v>
      </c>
      <c r="E14" s="17"/>
      <c r="F14" s="31"/>
      <c r="G14" s="17">
        <v>-12013.34</v>
      </c>
      <c r="H14" s="32"/>
      <c r="J14" s="4">
        <f t="shared" si="0"/>
        <v>-26889968.55</v>
      </c>
      <c r="K14" s="6">
        <f t="shared" si="1"/>
        <v>0</v>
      </c>
      <c r="L14" s="9">
        <f t="shared" si="2"/>
        <v>0</v>
      </c>
    </row>
    <row r="15" spans="1:12" ht="12.75">
      <c r="A15" s="14">
        <v>39083</v>
      </c>
      <c r="B15" s="47" t="s">
        <v>37</v>
      </c>
      <c r="E15" s="17"/>
      <c r="F15" s="31"/>
      <c r="G15" s="17">
        <v>-10760.46</v>
      </c>
      <c r="H15" s="32"/>
      <c r="J15" s="4">
        <f t="shared" si="0"/>
        <v>-26900729.01</v>
      </c>
      <c r="K15" s="6">
        <f t="shared" si="1"/>
        <v>0</v>
      </c>
      <c r="L15" s="9">
        <f t="shared" si="2"/>
        <v>0</v>
      </c>
    </row>
    <row r="16" spans="1:12" ht="12.75">
      <c r="A16" s="14">
        <v>39083</v>
      </c>
      <c r="B16" s="47" t="s">
        <v>37</v>
      </c>
      <c r="E16" s="17"/>
      <c r="F16" s="31"/>
      <c r="G16" s="17">
        <v>-33488.68</v>
      </c>
      <c r="H16" s="32"/>
      <c r="J16" s="4">
        <f t="shared" si="0"/>
        <v>-26934217.69</v>
      </c>
      <c r="K16" s="6">
        <f t="shared" si="1"/>
        <v>0</v>
      </c>
      <c r="L16" s="9">
        <f t="shared" si="2"/>
        <v>0</v>
      </c>
    </row>
    <row r="17" spans="1:12" ht="12.75">
      <c r="A17" s="14">
        <v>39083</v>
      </c>
      <c r="B17" s="47" t="s">
        <v>37</v>
      </c>
      <c r="E17" s="17"/>
      <c r="F17" s="31"/>
      <c r="G17" s="17">
        <v>-14133.46</v>
      </c>
      <c r="H17" s="32"/>
      <c r="J17" s="4">
        <f t="shared" si="0"/>
        <v>-26948351.150000002</v>
      </c>
      <c r="K17" s="6">
        <f t="shared" si="1"/>
        <v>0</v>
      </c>
      <c r="L17" s="9">
        <f t="shared" si="2"/>
        <v>0</v>
      </c>
    </row>
    <row r="18" spans="1:12" ht="12.75">
      <c r="A18" s="23">
        <v>39083</v>
      </c>
      <c r="B18" s="63" t="s">
        <v>48</v>
      </c>
      <c r="D18" s="17">
        <v>158555.64</v>
      </c>
      <c r="E18" s="17"/>
      <c r="F18" s="31"/>
      <c r="G18" s="17"/>
      <c r="H18" s="32"/>
      <c r="J18" s="4">
        <f t="shared" si="0"/>
        <v>-26789795.51</v>
      </c>
      <c r="K18" s="6">
        <f t="shared" si="1"/>
        <v>0</v>
      </c>
      <c r="L18" s="9">
        <f t="shared" si="2"/>
        <v>0</v>
      </c>
    </row>
    <row r="19" spans="1:12" ht="12.75">
      <c r="A19" s="23">
        <v>39083</v>
      </c>
      <c r="B19" s="63" t="s">
        <v>49</v>
      </c>
      <c r="D19" s="17">
        <v>-21200</v>
      </c>
      <c r="E19" s="17"/>
      <c r="F19" s="31"/>
      <c r="G19" s="17"/>
      <c r="H19" s="32"/>
      <c r="J19" s="4">
        <f t="shared" si="0"/>
        <v>-26810995.51</v>
      </c>
      <c r="K19" s="6">
        <f t="shared" si="1"/>
        <v>0</v>
      </c>
      <c r="L19" s="9">
        <f t="shared" si="2"/>
        <v>0</v>
      </c>
    </row>
    <row r="20" spans="1:12" ht="12.75">
      <c r="A20" s="23">
        <v>39083</v>
      </c>
      <c r="B20" s="63" t="s">
        <v>62</v>
      </c>
      <c r="D20" s="17"/>
      <c r="E20" s="17">
        <v>-76000</v>
      </c>
      <c r="F20" s="31"/>
      <c r="G20" s="17"/>
      <c r="H20" s="32"/>
      <c r="J20" s="4">
        <f t="shared" si="0"/>
        <v>-26886995.51</v>
      </c>
      <c r="K20" s="6">
        <f t="shared" si="1"/>
        <v>0</v>
      </c>
      <c r="L20" s="9">
        <f t="shared" si="2"/>
        <v>0</v>
      </c>
    </row>
    <row r="21" spans="1:12" ht="12.75">
      <c r="A21" s="23">
        <v>39083</v>
      </c>
      <c r="B21" s="63" t="s">
        <v>62</v>
      </c>
      <c r="D21" s="17"/>
      <c r="E21" s="17">
        <v>-38750</v>
      </c>
      <c r="F21" s="31"/>
      <c r="G21" s="17"/>
      <c r="H21" s="32"/>
      <c r="J21" s="4">
        <f t="shared" si="0"/>
        <v>-26925745.51</v>
      </c>
      <c r="K21" s="6">
        <f t="shared" si="1"/>
        <v>0</v>
      </c>
      <c r="L21" s="9">
        <f t="shared" si="2"/>
        <v>0</v>
      </c>
    </row>
    <row r="22" spans="1:12" ht="12.75">
      <c r="A22" s="23">
        <v>39083</v>
      </c>
      <c r="B22" s="63" t="s">
        <v>62</v>
      </c>
      <c r="D22" s="17"/>
      <c r="E22" s="17">
        <v>-77700</v>
      </c>
      <c r="F22" s="31"/>
      <c r="G22" s="17"/>
      <c r="H22" s="32"/>
      <c r="J22" s="4">
        <f t="shared" si="0"/>
        <v>-27003445.51</v>
      </c>
      <c r="K22" s="6">
        <f t="shared" si="1"/>
        <v>1</v>
      </c>
      <c r="L22" s="9">
        <f t="shared" si="2"/>
        <v>-14796.408498630139</v>
      </c>
    </row>
    <row r="23" spans="1:12" ht="12.75">
      <c r="A23" s="14">
        <v>39084</v>
      </c>
      <c r="B23" s="47" t="s">
        <v>7</v>
      </c>
      <c r="E23" s="17">
        <v>-100082.5</v>
      </c>
      <c r="F23" s="31"/>
      <c r="G23" s="31"/>
      <c r="H23" s="32"/>
      <c r="J23" s="4">
        <f t="shared" si="0"/>
        <v>-27103528.01</v>
      </c>
      <c r="K23" s="6">
        <f t="shared" si="1"/>
        <v>1</v>
      </c>
      <c r="L23" s="9">
        <f t="shared" si="2"/>
        <v>-14851.248224657536</v>
      </c>
    </row>
    <row r="24" spans="1:12" ht="12.75">
      <c r="A24" s="23">
        <v>39085</v>
      </c>
      <c r="B24" s="63" t="s">
        <v>7</v>
      </c>
      <c r="E24" s="17">
        <v>-50540</v>
      </c>
      <c r="F24" s="31"/>
      <c r="G24" s="31"/>
      <c r="H24" s="32"/>
      <c r="J24" s="4">
        <f t="shared" si="0"/>
        <v>-27154068.01</v>
      </c>
      <c r="K24" s="6">
        <f t="shared" si="1"/>
        <v>0</v>
      </c>
      <c r="L24" s="9">
        <f t="shared" si="2"/>
        <v>0</v>
      </c>
    </row>
    <row r="25" spans="1:12" ht="12.75">
      <c r="A25" s="23">
        <v>39085</v>
      </c>
      <c r="B25" s="63" t="s">
        <v>7</v>
      </c>
      <c r="E25" s="17">
        <v>-142975</v>
      </c>
      <c r="F25" s="31"/>
      <c r="G25" s="31"/>
      <c r="H25" s="32"/>
      <c r="J25" s="4">
        <f t="shared" si="0"/>
        <v>-27297043.01</v>
      </c>
      <c r="K25" s="6">
        <f t="shared" si="1"/>
        <v>1</v>
      </c>
      <c r="L25" s="9">
        <f t="shared" si="2"/>
        <v>-14957.283841095892</v>
      </c>
    </row>
    <row r="26" spans="1:12" ht="12.75">
      <c r="A26" s="14">
        <v>39086</v>
      </c>
      <c r="B26" s="47" t="s">
        <v>7</v>
      </c>
      <c r="E26" s="17">
        <v>-33750</v>
      </c>
      <c r="F26" s="31"/>
      <c r="G26" s="31"/>
      <c r="H26" s="32"/>
      <c r="J26" s="4">
        <f t="shared" si="0"/>
        <v>-27330793.01</v>
      </c>
      <c r="K26" s="6">
        <f t="shared" si="1"/>
        <v>0</v>
      </c>
      <c r="L26" s="9">
        <f t="shared" si="2"/>
        <v>0</v>
      </c>
    </row>
    <row r="27" spans="1:12" ht="12.75">
      <c r="A27" s="14">
        <v>39086</v>
      </c>
      <c r="B27" s="47" t="s">
        <v>20</v>
      </c>
      <c r="D27" s="48">
        <v>-318000</v>
      </c>
      <c r="E27" s="17"/>
      <c r="F27" s="31"/>
      <c r="G27" s="31"/>
      <c r="H27" s="32"/>
      <c r="J27" s="4">
        <f t="shared" si="0"/>
        <v>-27648793.01</v>
      </c>
      <c r="K27" s="6">
        <f t="shared" si="1"/>
        <v>0</v>
      </c>
      <c r="L27" s="9">
        <f t="shared" si="2"/>
        <v>0</v>
      </c>
    </row>
    <row r="28" spans="1:12" ht="12.75">
      <c r="A28" s="14">
        <v>39086</v>
      </c>
      <c r="B28" s="47" t="s">
        <v>22</v>
      </c>
      <c r="D28" s="48">
        <v>-600000</v>
      </c>
      <c r="E28" s="17"/>
      <c r="F28" s="31"/>
      <c r="G28" s="31"/>
      <c r="H28" s="32"/>
      <c r="J28" s="4">
        <f t="shared" si="0"/>
        <v>-28248793.01</v>
      </c>
      <c r="K28" s="6">
        <f t="shared" si="1"/>
        <v>1</v>
      </c>
      <c r="L28" s="9">
        <f t="shared" si="2"/>
        <v>-15478.79069041096</v>
      </c>
    </row>
    <row r="29" spans="1:12" ht="12.75">
      <c r="A29" s="14">
        <v>39087</v>
      </c>
      <c r="B29" s="47" t="s">
        <v>22</v>
      </c>
      <c r="D29" s="48">
        <v>-400000</v>
      </c>
      <c r="E29" s="17"/>
      <c r="F29" s="31"/>
      <c r="G29" s="31"/>
      <c r="H29" s="32"/>
      <c r="J29" s="4">
        <f t="shared" si="0"/>
        <v>-28648793.01</v>
      </c>
      <c r="K29" s="6">
        <f t="shared" si="1"/>
        <v>0</v>
      </c>
      <c r="L29" s="9">
        <f t="shared" si="2"/>
        <v>0</v>
      </c>
    </row>
    <row r="30" spans="1:12" ht="12.75">
      <c r="A30" s="14">
        <v>39087</v>
      </c>
      <c r="B30" s="30" t="s">
        <v>29</v>
      </c>
      <c r="C30" s="29">
        <f>1033505.2*0.8</f>
        <v>826804.16</v>
      </c>
      <c r="D30" s="46"/>
      <c r="E30" s="17"/>
      <c r="F30" s="31"/>
      <c r="G30" s="31"/>
      <c r="H30" s="32"/>
      <c r="J30" s="4">
        <f t="shared" si="0"/>
        <v>-28648793.01</v>
      </c>
      <c r="K30" s="6">
        <f t="shared" si="1"/>
        <v>0</v>
      </c>
      <c r="L30" s="9">
        <f t="shared" si="2"/>
        <v>0</v>
      </c>
    </row>
    <row r="31" spans="1:12" ht="12.75">
      <c r="A31" s="14">
        <v>39087</v>
      </c>
      <c r="B31" s="13" t="s">
        <v>32</v>
      </c>
      <c r="C31" s="17">
        <f>-C30</f>
        <v>-826804.16</v>
      </c>
      <c r="D31" s="46"/>
      <c r="E31" s="17"/>
      <c r="F31" s="31"/>
      <c r="G31" s="31"/>
      <c r="H31" s="32">
        <f>-C31</f>
        <v>826804.16</v>
      </c>
      <c r="J31" s="4">
        <f t="shared" si="0"/>
        <v>-27821988.85</v>
      </c>
      <c r="K31" s="6">
        <f t="shared" si="1"/>
        <v>1</v>
      </c>
      <c r="L31" s="9">
        <f t="shared" si="2"/>
        <v>-15244.925397260275</v>
      </c>
    </row>
    <row r="32" spans="1:12" ht="12.75">
      <c r="A32" s="14">
        <v>39088</v>
      </c>
      <c r="B32" s="47" t="s">
        <v>7</v>
      </c>
      <c r="E32" s="17">
        <v>-39900</v>
      </c>
      <c r="F32" s="31"/>
      <c r="G32" s="31"/>
      <c r="H32" s="32"/>
      <c r="J32" s="4">
        <f t="shared" si="0"/>
        <v>-27861888.85</v>
      </c>
      <c r="K32" s="6">
        <f t="shared" si="1"/>
        <v>0</v>
      </c>
      <c r="L32" s="9">
        <f t="shared" si="2"/>
        <v>0</v>
      </c>
    </row>
    <row r="33" spans="1:12" ht="12.75">
      <c r="A33" s="14">
        <v>39088</v>
      </c>
      <c r="B33" s="47" t="s">
        <v>7</v>
      </c>
      <c r="E33" s="17">
        <v>-86450</v>
      </c>
      <c r="F33" s="31"/>
      <c r="G33" s="31"/>
      <c r="H33" s="32"/>
      <c r="J33" s="4">
        <f t="shared" si="0"/>
        <v>-27948338.85</v>
      </c>
      <c r="K33" s="6">
        <f t="shared" si="1"/>
        <v>3</v>
      </c>
      <c r="L33" s="9">
        <f t="shared" si="2"/>
        <v>-45942.474821917815</v>
      </c>
    </row>
    <row r="34" spans="1:12" ht="12.75">
      <c r="A34" s="14">
        <v>39091</v>
      </c>
      <c r="B34" s="47" t="s">
        <v>21</v>
      </c>
      <c r="D34" s="48">
        <v>-8400</v>
      </c>
      <c r="E34" s="17"/>
      <c r="F34" s="31"/>
      <c r="G34" s="31"/>
      <c r="H34" s="32"/>
      <c r="J34" s="4">
        <f t="shared" si="0"/>
        <v>-27956738.85</v>
      </c>
      <c r="K34" s="6">
        <f t="shared" si="1"/>
        <v>0</v>
      </c>
      <c r="L34" s="9">
        <f t="shared" si="2"/>
        <v>0</v>
      </c>
    </row>
    <row r="35" spans="1:12" ht="12.75">
      <c r="A35" s="14">
        <v>39091</v>
      </c>
      <c r="B35" s="47" t="s">
        <v>36</v>
      </c>
      <c r="D35" s="48">
        <v>-2791.37</v>
      </c>
      <c r="E35" s="17"/>
      <c r="F35" s="31"/>
      <c r="G35" s="31"/>
      <c r="H35" s="32"/>
      <c r="J35" s="4">
        <f t="shared" si="0"/>
        <v>-27959530.220000003</v>
      </c>
      <c r="K35" s="6">
        <f t="shared" si="1"/>
        <v>1</v>
      </c>
      <c r="L35" s="9">
        <f t="shared" si="2"/>
        <v>-15320.290531506851</v>
      </c>
    </row>
    <row r="36" spans="1:12" ht="12.75">
      <c r="A36" s="14">
        <v>39092</v>
      </c>
      <c r="B36" s="47" t="s">
        <v>21</v>
      </c>
      <c r="D36" s="48">
        <v>-10500</v>
      </c>
      <c r="E36" s="17"/>
      <c r="F36" s="31"/>
      <c r="G36" s="31"/>
      <c r="H36" s="32"/>
      <c r="J36" s="4">
        <f t="shared" si="0"/>
        <v>-27970030.220000003</v>
      </c>
      <c r="K36" s="6">
        <f t="shared" si="1"/>
        <v>0</v>
      </c>
      <c r="L36" s="9">
        <f t="shared" si="2"/>
        <v>0</v>
      </c>
    </row>
    <row r="37" spans="1:12" ht="12.75">
      <c r="A37" s="14">
        <v>39092</v>
      </c>
      <c r="B37" s="47" t="s">
        <v>21</v>
      </c>
      <c r="D37" s="49">
        <v>-2100</v>
      </c>
      <c r="E37" s="17"/>
      <c r="F37" s="31"/>
      <c r="G37" s="31"/>
      <c r="H37" s="32"/>
      <c r="J37" s="4">
        <f t="shared" si="0"/>
        <v>-27972130.220000003</v>
      </c>
      <c r="K37" s="6">
        <f t="shared" si="1"/>
        <v>0</v>
      </c>
      <c r="L37" s="9">
        <f t="shared" si="2"/>
        <v>0</v>
      </c>
    </row>
    <row r="38" spans="1:12" ht="12.75">
      <c r="A38" s="14">
        <v>39092</v>
      </c>
      <c r="B38" s="47" t="s">
        <v>27</v>
      </c>
      <c r="D38" s="48">
        <v>-15260</v>
      </c>
      <c r="E38" s="17"/>
      <c r="F38" s="31"/>
      <c r="G38" s="31"/>
      <c r="H38" s="32"/>
      <c r="J38" s="4">
        <f t="shared" si="0"/>
        <v>-27987390.220000003</v>
      </c>
      <c r="K38" s="6">
        <f t="shared" si="1"/>
        <v>0</v>
      </c>
      <c r="L38" s="9">
        <f t="shared" si="2"/>
        <v>0</v>
      </c>
    </row>
    <row r="39" spans="1:12" ht="12.75">
      <c r="A39" s="23">
        <v>39092</v>
      </c>
      <c r="B39" s="63" t="s">
        <v>27</v>
      </c>
      <c r="D39" s="17">
        <v>-35460</v>
      </c>
      <c r="E39" s="17"/>
      <c r="F39" s="31"/>
      <c r="G39" s="31"/>
      <c r="H39" s="32"/>
      <c r="J39" s="4">
        <f t="shared" si="0"/>
        <v>-28022850.220000003</v>
      </c>
      <c r="K39" s="6">
        <f t="shared" si="1"/>
        <v>1</v>
      </c>
      <c r="L39" s="9">
        <f t="shared" si="2"/>
        <v>-15354.98642191781</v>
      </c>
    </row>
    <row r="40" spans="1:12" ht="12.75">
      <c r="A40" s="23">
        <v>39093</v>
      </c>
      <c r="B40" s="63" t="s">
        <v>28</v>
      </c>
      <c r="D40" s="17">
        <v>-210000</v>
      </c>
      <c r="E40" s="17"/>
      <c r="F40" s="31"/>
      <c r="G40" s="31"/>
      <c r="H40" s="32"/>
      <c r="J40" s="4">
        <f t="shared" si="0"/>
        <v>-28232850.220000003</v>
      </c>
      <c r="K40" s="6">
        <f t="shared" si="1"/>
        <v>1</v>
      </c>
      <c r="L40" s="9">
        <f t="shared" si="2"/>
        <v>-15470.054915068495</v>
      </c>
    </row>
    <row r="41" spans="1:12" ht="12.75">
      <c r="A41" s="14">
        <v>39094</v>
      </c>
      <c r="B41" s="47" t="s">
        <v>25</v>
      </c>
      <c r="D41" s="48">
        <v>-26500</v>
      </c>
      <c r="E41" s="17"/>
      <c r="F41" s="31"/>
      <c r="G41" s="31"/>
      <c r="H41" s="32"/>
      <c r="J41" s="4">
        <f t="shared" si="0"/>
        <v>-28259350.220000003</v>
      </c>
      <c r="K41" s="6">
        <f t="shared" si="1"/>
        <v>0</v>
      </c>
      <c r="L41" s="9">
        <f t="shared" si="2"/>
        <v>0</v>
      </c>
    </row>
    <row r="42" spans="1:12" ht="12.75">
      <c r="A42" s="14">
        <v>39094</v>
      </c>
      <c r="B42" s="47" t="s">
        <v>26</v>
      </c>
      <c r="D42" s="48">
        <v>-23500</v>
      </c>
      <c r="E42" s="17"/>
      <c r="F42" s="31"/>
      <c r="G42" s="31"/>
      <c r="H42" s="32"/>
      <c r="J42" s="4">
        <f t="shared" si="0"/>
        <v>-28282850.220000003</v>
      </c>
      <c r="K42" s="6">
        <f t="shared" si="1"/>
        <v>0</v>
      </c>
      <c r="L42" s="9">
        <f t="shared" si="2"/>
        <v>0</v>
      </c>
    </row>
    <row r="43" spans="1:12" ht="12.75">
      <c r="A43" s="14">
        <v>39094</v>
      </c>
      <c r="B43" s="47" t="s">
        <v>20</v>
      </c>
      <c r="D43" s="49">
        <v>-106000</v>
      </c>
      <c r="E43" s="17"/>
      <c r="F43" s="31"/>
      <c r="G43" s="31"/>
      <c r="H43" s="32"/>
      <c r="J43" s="4">
        <f t="shared" si="0"/>
        <v>-28388850.220000003</v>
      </c>
      <c r="K43" s="6">
        <f t="shared" si="1"/>
        <v>0</v>
      </c>
      <c r="L43" s="9">
        <f t="shared" si="2"/>
        <v>0</v>
      </c>
    </row>
    <row r="44" spans="1:12" ht="12.75">
      <c r="A44" s="14">
        <v>39094</v>
      </c>
      <c r="B44" s="47" t="s">
        <v>7</v>
      </c>
      <c r="E44" s="17">
        <v>-66500</v>
      </c>
      <c r="F44" s="31"/>
      <c r="G44" s="31"/>
      <c r="H44" s="32"/>
      <c r="J44" s="4">
        <f t="shared" si="0"/>
        <v>-28455350.220000003</v>
      </c>
      <c r="K44" s="6">
        <f t="shared" si="1"/>
        <v>1</v>
      </c>
      <c r="L44" s="9">
        <f t="shared" si="2"/>
        <v>-15591.972723287674</v>
      </c>
    </row>
    <row r="45" spans="1:12" ht="12.75">
      <c r="A45" s="14">
        <v>39095</v>
      </c>
      <c r="B45" s="47" t="s">
        <v>7</v>
      </c>
      <c r="E45" s="17">
        <v>-193500</v>
      </c>
      <c r="F45" s="31"/>
      <c r="G45" s="31"/>
      <c r="H45" s="32"/>
      <c r="J45" s="4">
        <f t="shared" si="0"/>
        <v>-28648850.220000003</v>
      </c>
      <c r="K45" s="6">
        <f t="shared" si="1"/>
        <v>2</v>
      </c>
      <c r="L45" s="9">
        <f t="shared" si="2"/>
        <v>-31396.000241095895</v>
      </c>
    </row>
    <row r="46" spans="1:12" ht="12.75">
      <c r="A46" s="14">
        <v>39097</v>
      </c>
      <c r="B46" s="47" t="s">
        <v>21</v>
      </c>
      <c r="D46" s="48">
        <v>-105000</v>
      </c>
      <c r="E46" s="17"/>
      <c r="F46" s="31"/>
      <c r="G46" s="31"/>
      <c r="H46" s="32"/>
      <c r="J46" s="4">
        <f t="shared" si="0"/>
        <v>-28753850.220000003</v>
      </c>
      <c r="K46" s="6">
        <f t="shared" si="1"/>
        <v>0</v>
      </c>
      <c r="L46" s="9">
        <f t="shared" si="2"/>
        <v>0</v>
      </c>
    </row>
    <row r="47" spans="1:12" ht="12.75">
      <c r="A47" s="14">
        <v>39097</v>
      </c>
      <c r="B47" s="47" t="s">
        <v>36</v>
      </c>
      <c r="D47" s="48">
        <v>-6834.7</v>
      </c>
      <c r="E47" s="17"/>
      <c r="F47" s="31"/>
      <c r="G47" s="31"/>
      <c r="H47" s="32"/>
      <c r="J47" s="4">
        <f t="shared" si="0"/>
        <v>-28760684.92</v>
      </c>
      <c r="K47" s="6">
        <f t="shared" si="1"/>
        <v>1</v>
      </c>
      <c r="L47" s="9">
        <f t="shared" si="2"/>
        <v>-15759.279408219181</v>
      </c>
    </row>
    <row r="48" spans="1:12" ht="12.75">
      <c r="A48" s="14">
        <v>39098</v>
      </c>
      <c r="B48" s="47" t="s">
        <v>20</v>
      </c>
      <c r="D48" s="48">
        <v>-265000</v>
      </c>
      <c r="E48" s="17"/>
      <c r="F48" s="31"/>
      <c r="G48" s="31"/>
      <c r="H48" s="32"/>
      <c r="J48" s="4">
        <f t="shared" si="0"/>
        <v>-29025684.92</v>
      </c>
      <c r="K48" s="6">
        <f t="shared" si="1"/>
        <v>1</v>
      </c>
      <c r="L48" s="9">
        <f t="shared" si="2"/>
        <v>-15904.484887671237</v>
      </c>
    </row>
    <row r="49" spans="1:12" ht="12.75">
      <c r="A49" s="14">
        <v>39099</v>
      </c>
      <c r="B49" s="47" t="s">
        <v>30</v>
      </c>
      <c r="D49" s="48"/>
      <c r="E49" s="17"/>
      <c r="F49" s="31"/>
      <c r="G49" s="17">
        <v>-25992.12</v>
      </c>
      <c r="H49" s="32"/>
      <c r="J49" s="4">
        <f t="shared" si="0"/>
        <v>-29051677.040000003</v>
      </c>
      <c r="K49" s="6">
        <f t="shared" si="1"/>
        <v>0</v>
      </c>
      <c r="L49" s="9">
        <f t="shared" si="2"/>
        <v>0</v>
      </c>
    </row>
    <row r="50" spans="1:12" ht="12.75">
      <c r="A50" s="14">
        <v>39099</v>
      </c>
      <c r="B50" s="47" t="s">
        <v>33</v>
      </c>
      <c r="D50" s="48">
        <v>-850000</v>
      </c>
      <c r="E50" s="17"/>
      <c r="F50" s="31"/>
      <c r="G50" s="31"/>
      <c r="H50" s="32"/>
      <c r="J50" s="4">
        <f t="shared" si="0"/>
        <v>-29901677.040000003</v>
      </c>
      <c r="K50" s="6">
        <f t="shared" si="1"/>
        <v>0</v>
      </c>
      <c r="L50" s="9">
        <f t="shared" si="2"/>
        <v>0</v>
      </c>
    </row>
    <row r="51" spans="1:12" ht="12.75">
      <c r="A51" s="14">
        <v>39099</v>
      </c>
      <c r="B51" s="47" t="s">
        <v>33</v>
      </c>
      <c r="D51" s="48">
        <v>-620000</v>
      </c>
      <c r="E51" s="17"/>
      <c r="F51" s="31"/>
      <c r="G51" s="31"/>
      <c r="H51" s="32"/>
      <c r="J51" s="4">
        <f t="shared" si="0"/>
        <v>-30521677.040000003</v>
      </c>
      <c r="K51" s="6">
        <f t="shared" si="1"/>
        <v>0</v>
      </c>
      <c r="L51" s="9">
        <f t="shared" si="2"/>
        <v>0</v>
      </c>
    </row>
    <row r="52" spans="1:12" ht="12.75">
      <c r="A52" s="14">
        <v>39099</v>
      </c>
      <c r="B52" s="47" t="s">
        <v>33</v>
      </c>
      <c r="D52" s="48">
        <v>-530000</v>
      </c>
      <c r="E52" s="17"/>
      <c r="F52" s="31"/>
      <c r="G52" s="31"/>
      <c r="H52" s="32"/>
      <c r="J52" s="4">
        <f t="shared" si="0"/>
        <v>-31051677.040000003</v>
      </c>
      <c r="K52" s="6">
        <f t="shared" si="1"/>
        <v>0</v>
      </c>
      <c r="L52" s="9">
        <f t="shared" si="2"/>
        <v>0</v>
      </c>
    </row>
    <row r="53" spans="1:12" ht="12.75">
      <c r="A53" s="14">
        <v>39099</v>
      </c>
      <c r="B53" s="47" t="s">
        <v>20</v>
      </c>
      <c r="D53" s="17">
        <v>-84800</v>
      </c>
      <c r="E53" s="17"/>
      <c r="F53" s="31"/>
      <c r="G53" s="31"/>
      <c r="H53" s="32"/>
      <c r="J53" s="4">
        <f t="shared" si="0"/>
        <v>-31136477.040000003</v>
      </c>
      <c r="K53" s="6">
        <f t="shared" si="1"/>
        <v>0</v>
      </c>
      <c r="L53" s="9">
        <f t="shared" si="2"/>
        <v>0</v>
      </c>
    </row>
    <row r="54" spans="1:12" ht="12.75">
      <c r="A54" s="14">
        <v>39099</v>
      </c>
      <c r="B54" s="47" t="s">
        <v>21</v>
      </c>
      <c r="D54" s="17">
        <v>-105000</v>
      </c>
      <c r="E54" s="17"/>
      <c r="F54" s="31"/>
      <c r="G54" s="31"/>
      <c r="H54" s="32"/>
      <c r="J54" s="4">
        <f t="shared" si="0"/>
        <v>-31241477.040000003</v>
      </c>
      <c r="K54" s="6">
        <f t="shared" si="1"/>
        <v>1</v>
      </c>
      <c r="L54" s="9">
        <f t="shared" si="2"/>
        <v>-17118.617556164387</v>
      </c>
    </row>
    <row r="55" spans="1:12" ht="12.75">
      <c r="A55" s="14">
        <v>39100</v>
      </c>
      <c r="B55" s="47" t="s">
        <v>34</v>
      </c>
      <c r="D55" s="17">
        <v>-200000</v>
      </c>
      <c r="E55" s="17"/>
      <c r="F55" s="31"/>
      <c r="G55" s="31"/>
      <c r="H55" s="32"/>
      <c r="J55" s="4">
        <f t="shared" si="0"/>
        <v>-31441477.040000003</v>
      </c>
      <c r="K55" s="6">
        <f t="shared" si="1"/>
        <v>0</v>
      </c>
      <c r="L55" s="9">
        <f t="shared" si="2"/>
        <v>0</v>
      </c>
    </row>
    <row r="56" spans="1:12" ht="12.75">
      <c r="A56" s="14">
        <v>39100</v>
      </c>
      <c r="B56" s="47" t="s">
        <v>35</v>
      </c>
      <c r="D56" s="17">
        <v>-200000</v>
      </c>
      <c r="E56" s="17"/>
      <c r="F56" s="31"/>
      <c r="G56" s="31"/>
      <c r="H56" s="32"/>
      <c r="J56" s="4">
        <f t="shared" si="0"/>
        <v>-31641477.040000003</v>
      </c>
      <c r="K56" s="6">
        <f t="shared" si="1"/>
        <v>0</v>
      </c>
      <c r="L56" s="9">
        <f t="shared" si="2"/>
        <v>0</v>
      </c>
    </row>
    <row r="57" spans="1:12" ht="12.75">
      <c r="A57" s="14">
        <v>39100</v>
      </c>
      <c r="B57" s="47" t="s">
        <v>33</v>
      </c>
      <c r="D57" s="17">
        <v>-500000</v>
      </c>
      <c r="E57" s="17"/>
      <c r="F57" s="31"/>
      <c r="G57" s="31"/>
      <c r="H57" s="32"/>
      <c r="J57" s="4">
        <f t="shared" si="0"/>
        <v>-32141477.040000003</v>
      </c>
      <c r="K57" s="6">
        <f t="shared" si="1"/>
        <v>0</v>
      </c>
      <c r="L57" s="9">
        <f t="shared" si="2"/>
        <v>0</v>
      </c>
    </row>
    <row r="58" spans="1:12" ht="12.75">
      <c r="A58" s="14">
        <v>39100</v>
      </c>
      <c r="B58" s="47" t="s">
        <v>28</v>
      </c>
      <c r="D58" s="17">
        <v>-210000</v>
      </c>
      <c r="E58" s="17"/>
      <c r="F58" s="31"/>
      <c r="G58" s="31"/>
      <c r="H58" s="32"/>
      <c r="J58" s="4">
        <f t="shared" si="0"/>
        <v>-32351477.040000003</v>
      </c>
      <c r="K58" s="6">
        <f t="shared" si="1"/>
        <v>0</v>
      </c>
      <c r="L58" s="9">
        <f t="shared" si="2"/>
        <v>0</v>
      </c>
    </row>
    <row r="59" spans="1:12" ht="12.75">
      <c r="A59" s="14">
        <v>39100</v>
      </c>
      <c r="B59" s="59" t="s">
        <v>44</v>
      </c>
      <c r="C59" s="60">
        <v>-236193.3</v>
      </c>
      <c r="D59" s="46"/>
      <c r="E59" s="17"/>
      <c r="F59" s="31"/>
      <c r="G59" s="31"/>
      <c r="H59" s="32"/>
      <c r="J59" s="4">
        <f t="shared" si="0"/>
        <v>-32351477.040000003</v>
      </c>
      <c r="K59" s="6">
        <f t="shared" si="1"/>
        <v>0</v>
      </c>
      <c r="L59" s="9">
        <f t="shared" si="2"/>
        <v>0</v>
      </c>
    </row>
    <row r="60" spans="1:12" ht="12.75">
      <c r="A60" s="14">
        <v>39100</v>
      </c>
      <c r="B60" s="13" t="s">
        <v>32</v>
      </c>
      <c r="C60" s="17">
        <f>-C59</f>
        <v>236193.3</v>
      </c>
      <c r="D60" s="46"/>
      <c r="E60" s="17"/>
      <c r="F60" s="31"/>
      <c r="G60" s="31"/>
      <c r="H60" s="61">
        <f>-C60</f>
        <v>-236193.3</v>
      </c>
      <c r="J60" s="4">
        <f t="shared" si="0"/>
        <v>-32587670.340000004</v>
      </c>
      <c r="K60" s="6">
        <f t="shared" si="1"/>
        <v>0</v>
      </c>
      <c r="L60" s="9">
        <f t="shared" si="2"/>
        <v>0</v>
      </c>
    </row>
    <row r="61" spans="1:12" ht="12.75">
      <c r="A61" s="23">
        <v>39100</v>
      </c>
      <c r="B61" s="30" t="s">
        <v>41</v>
      </c>
      <c r="C61" s="29">
        <f>4281718.64*0.8</f>
        <v>3425374.912</v>
      </c>
      <c r="D61" s="46"/>
      <c r="E61" s="17"/>
      <c r="F61" s="31"/>
      <c r="G61" s="31"/>
      <c r="H61" s="32"/>
      <c r="J61" s="4">
        <f t="shared" si="0"/>
        <v>-32587670.340000004</v>
      </c>
      <c r="K61" s="6">
        <f t="shared" si="1"/>
        <v>0</v>
      </c>
      <c r="L61" s="9">
        <f t="shared" si="2"/>
        <v>0</v>
      </c>
    </row>
    <row r="62" spans="1:12" ht="12.75">
      <c r="A62" s="23">
        <v>39100</v>
      </c>
      <c r="B62" s="13" t="s">
        <v>32</v>
      </c>
      <c r="C62" s="17">
        <f>-C61</f>
        <v>-3425374.912</v>
      </c>
      <c r="D62" s="46"/>
      <c r="E62" s="17"/>
      <c r="F62" s="31"/>
      <c r="G62" s="31"/>
      <c r="H62" s="32">
        <f>-C62</f>
        <v>3425374.912</v>
      </c>
      <c r="I62" s="62"/>
      <c r="J62" s="4">
        <f t="shared" si="0"/>
        <v>-29162295.428000003</v>
      </c>
      <c r="K62" s="6">
        <f t="shared" si="1"/>
        <v>0</v>
      </c>
      <c r="L62" s="9">
        <f t="shared" si="2"/>
        <v>0</v>
      </c>
    </row>
    <row r="63" spans="1:12" ht="12.75">
      <c r="A63" s="23">
        <v>39100</v>
      </c>
      <c r="B63" s="30" t="s">
        <v>42</v>
      </c>
      <c r="C63" s="29">
        <f>2374324.65*0.8</f>
        <v>1899459.72</v>
      </c>
      <c r="D63" s="46"/>
      <c r="E63" s="17"/>
      <c r="F63" s="31"/>
      <c r="G63" s="31"/>
      <c r="H63" s="32"/>
      <c r="I63" s="62"/>
      <c r="J63" s="4">
        <f t="shared" si="0"/>
        <v>-29162295.428000003</v>
      </c>
      <c r="K63" s="6">
        <f t="shared" si="1"/>
        <v>0</v>
      </c>
      <c r="L63" s="9">
        <f t="shared" si="2"/>
        <v>0</v>
      </c>
    </row>
    <row r="64" spans="1:12" ht="12.75">
      <c r="A64" s="23">
        <v>39100</v>
      </c>
      <c r="B64" s="13" t="s">
        <v>32</v>
      </c>
      <c r="C64" s="17">
        <f>-C63</f>
        <v>-1899459.72</v>
      </c>
      <c r="D64" s="46"/>
      <c r="E64" s="17"/>
      <c r="F64" s="31"/>
      <c r="G64" s="31"/>
      <c r="H64" s="32">
        <f>-C64</f>
        <v>1899459.72</v>
      </c>
      <c r="I64" s="62"/>
      <c r="J64" s="4">
        <f t="shared" si="0"/>
        <v>-27262835.708000004</v>
      </c>
      <c r="K64" s="6">
        <f t="shared" si="1"/>
        <v>1</v>
      </c>
      <c r="L64" s="9">
        <f t="shared" si="2"/>
        <v>-14938.540113972607</v>
      </c>
    </row>
    <row r="65" spans="1:12" ht="12.75">
      <c r="A65" s="23">
        <v>39101</v>
      </c>
      <c r="B65" s="63" t="s">
        <v>20</v>
      </c>
      <c r="D65" s="17">
        <v>-318000</v>
      </c>
      <c r="E65" s="17"/>
      <c r="F65" s="31"/>
      <c r="G65" s="31"/>
      <c r="H65" s="32"/>
      <c r="I65" s="62"/>
      <c r="J65" s="4">
        <f t="shared" si="0"/>
        <v>-27580835.708000004</v>
      </c>
      <c r="K65" s="6">
        <f t="shared" si="1"/>
        <v>0</v>
      </c>
      <c r="L65" s="9">
        <f t="shared" si="2"/>
        <v>0</v>
      </c>
    </row>
    <row r="66" spans="1:12" ht="12.75">
      <c r="A66" s="14">
        <v>39101</v>
      </c>
      <c r="B66" s="47" t="s">
        <v>35</v>
      </c>
      <c r="D66" s="17">
        <v>-300000</v>
      </c>
      <c r="E66" s="17"/>
      <c r="F66" s="31"/>
      <c r="G66" s="31"/>
      <c r="H66" s="32"/>
      <c r="I66" s="62"/>
      <c r="J66" s="4">
        <f t="shared" si="0"/>
        <v>-27880835.708000004</v>
      </c>
      <c r="K66" s="6">
        <f t="shared" si="1"/>
        <v>1</v>
      </c>
      <c r="L66" s="9">
        <f t="shared" si="2"/>
        <v>-15277.170250958909</v>
      </c>
    </row>
    <row r="67" spans="1:12" ht="12.75">
      <c r="A67" s="14">
        <v>39102</v>
      </c>
      <c r="B67" s="47" t="s">
        <v>7</v>
      </c>
      <c r="E67" s="17">
        <v>-41895</v>
      </c>
      <c r="F67" s="31"/>
      <c r="G67" s="31"/>
      <c r="H67" s="32"/>
      <c r="I67" s="62"/>
      <c r="J67" s="4">
        <f t="shared" si="0"/>
        <v>-27922730.708000004</v>
      </c>
      <c r="K67" s="6">
        <f t="shared" si="1"/>
        <v>0</v>
      </c>
      <c r="L67" s="9">
        <f t="shared" si="2"/>
        <v>0</v>
      </c>
    </row>
    <row r="68" spans="1:12" ht="12.75">
      <c r="A68" s="14">
        <v>39102</v>
      </c>
      <c r="B68" s="47" t="s">
        <v>7</v>
      </c>
      <c r="E68" s="17">
        <v>-68495</v>
      </c>
      <c r="F68" s="31"/>
      <c r="G68" s="31"/>
      <c r="H68" s="32"/>
      <c r="J68" s="4">
        <f t="shared" si="0"/>
        <v>-27991225.708000004</v>
      </c>
      <c r="K68" s="6">
        <f t="shared" si="1"/>
        <v>0</v>
      </c>
      <c r="L68" s="9">
        <f t="shared" si="2"/>
        <v>0</v>
      </c>
    </row>
    <row r="69" spans="1:12" ht="12.75">
      <c r="A69" s="14">
        <v>39102</v>
      </c>
      <c r="B69" s="47" t="s">
        <v>7</v>
      </c>
      <c r="E69" s="17">
        <v>-40764.5</v>
      </c>
      <c r="F69" s="31"/>
      <c r="G69" s="31"/>
      <c r="H69" s="32"/>
      <c r="J69" s="4">
        <f aca="true" t="shared" si="3" ref="J69:J132">J68+D69+E69+F69+G69+H69+I69</f>
        <v>-28031990.208000004</v>
      </c>
      <c r="K69" s="6">
        <f aca="true" t="shared" si="4" ref="K69:K132">DATEDIF(A69,A70,"d")</f>
        <v>0</v>
      </c>
      <c r="L69" s="9">
        <f aca="true" t="shared" si="5" ref="L69:L132">J69*K69*0.2/365</f>
        <v>0</v>
      </c>
    </row>
    <row r="70" spans="1:12" ht="12.75">
      <c r="A70" s="14">
        <v>39102</v>
      </c>
      <c r="B70" s="47" t="s">
        <v>7</v>
      </c>
      <c r="E70" s="17">
        <v>-39235</v>
      </c>
      <c r="F70" s="31"/>
      <c r="G70" s="31"/>
      <c r="H70" s="32"/>
      <c r="J70" s="4">
        <f t="shared" si="3"/>
        <v>-28071225.208000004</v>
      </c>
      <c r="K70" s="6">
        <f t="shared" si="4"/>
        <v>1</v>
      </c>
      <c r="L70" s="9">
        <f t="shared" si="5"/>
        <v>-15381.493264657536</v>
      </c>
    </row>
    <row r="71" spans="1:12" ht="12.75">
      <c r="A71" s="14">
        <v>39103</v>
      </c>
      <c r="B71" s="47" t="s">
        <v>7</v>
      </c>
      <c r="E71" s="17">
        <v>-59185</v>
      </c>
      <c r="F71" s="31"/>
      <c r="G71" s="31"/>
      <c r="H71" s="32"/>
      <c r="J71" s="4">
        <f t="shared" si="3"/>
        <v>-28130410.208000004</v>
      </c>
      <c r="K71" s="6">
        <f t="shared" si="4"/>
        <v>0</v>
      </c>
      <c r="L71" s="9">
        <f t="shared" si="5"/>
        <v>0</v>
      </c>
    </row>
    <row r="72" spans="1:12" ht="12.75">
      <c r="A72" s="14">
        <v>39103</v>
      </c>
      <c r="B72" s="47" t="s">
        <v>7</v>
      </c>
      <c r="E72" s="17">
        <v>-79800</v>
      </c>
      <c r="F72" s="31"/>
      <c r="G72" s="31"/>
      <c r="H72" s="32"/>
      <c r="J72" s="4">
        <f t="shared" si="3"/>
        <v>-28210210.208000004</v>
      </c>
      <c r="K72" s="6">
        <f t="shared" si="4"/>
        <v>0</v>
      </c>
      <c r="L72" s="9">
        <f t="shared" si="5"/>
        <v>0</v>
      </c>
    </row>
    <row r="73" spans="1:12" ht="12.75">
      <c r="A73" s="14">
        <v>39103</v>
      </c>
      <c r="B73" s="47" t="s">
        <v>7</v>
      </c>
      <c r="E73" s="17">
        <v>-58250</v>
      </c>
      <c r="F73" s="31"/>
      <c r="G73" s="31"/>
      <c r="H73" s="32"/>
      <c r="J73" s="4">
        <f t="shared" si="3"/>
        <v>-28268460.208000004</v>
      </c>
      <c r="K73" s="6">
        <f t="shared" si="4"/>
        <v>0</v>
      </c>
      <c r="L73" s="9">
        <f t="shared" si="5"/>
        <v>0</v>
      </c>
    </row>
    <row r="74" spans="1:12" ht="12.75">
      <c r="A74" s="14">
        <v>39103</v>
      </c>
      <c r="B74" s="47" t="s">
        <v>7</v>
      </c>
      <c r="E74" s="17">
        <v>-64172.5</v>
      </c>
      <c r="F74" s="31"/>
      <c r="G74" s="31"/>
      <c r="H74" s="32"/>
      <c r="J74" s="4">
        <f t="shared" si="3"/>
        <v>-28332632.708000004</v>
      </c>
      <c r="K74" s="6">
        <f t="shared" si="4"/>
        <v>1</v>
      </c>
      <c r="L74" s="9">
        <f t="shared" si="5"/>
        <v>-15524.730250958906</v>
      </c>
    </row>
    <row r="75" spans="1:12" ht="12.75">
      <c r="A75" s="14">
        <v>39104</v>
      </c>
      <c r="B75" s="47" t="s">
        <v>7</v>
      </c>
      <c r="E75" s="17">
        <v>-58520</v>
      </c>
      <c r="F75" s="31"/>
      <c r="G75" s="31"/>
      <c r="H75" s="32"/>
      <c r="J75" s="4">
        <f t="shared" si="3"/>
        <v>-28391152.708000004</v>
      </c>
      <c r="K75" s="6">
        <f t="shared" si="4"/>
        <v>1</v>
      </c>
      <c r="L75" s="9">
        <f t="shared" si="5"/>
        <v>-15556.796004383565</v>
      </c>
    </row>
    <row r="76" spans="1:12" ht="12.75">
      <c r="A76" s="14">
        <v>39105</v>
      </c>
      <c r="B76" s="47" t="s">
        <v>20</v>
      </c>
      <c r="D76" s="17">
        <v>-296800</v>
      </c>
      <c r="E76" s="17"/>
      <c r="F76" s="31"/>
      <c r="G76" s="31"/>
      <c r="H76" s="32"/>
      <c r="J76" s="4">
        <f t="shared" si="3"/>
        <v>-28687952.708000004</v>
      </c>
      <c r="K76" s="6">
        <f t="shared" si="4"/>
        <v>1</v>
      </c>
      <c r="L76" s="9">
        <f t="shared" si="5"/>
        <v>-15719.426141369866</v>
      </c>
    </row>
    <row r="77" spans="1:12" ht="12.75">
      <c r="A77" s="14">
        <v>39106</v>
      </c>
      <c r="B77" s="47" t="s">
        <v>39</v>
      </c>
      <c r="D77" s="17">
        <v>-20600</v>
      </c>
      <c r="E77" s="17"/>
      <c r="F77" s="31"/>
      <c r="G77" s="31"/>
      <c r="H77" s="32"/>
      <c r="J77" s="4">
        <f t="shared" si="3"/>
        <v>-28708552.708000004</v>
      </c>
      <c r="K77" s="6">
        <f t="shared" si="4"/>
        <v>0</v>
      </c>
      <c r="L77" s="9">
        <f t="shared" si="5"/>
        <v>0</v>
      </c>
    </row>
    <row r="78" spans="1:12" ht="12.75">
      <c r="A78" s="14">
        <v>39106</v>
      </c>
      <c r="B78" s="47" t="s">
        <v>40</v>
      </c>
      <c r="D78" s="17">
        <v>-30000</v>
      </c>
      <c r="E78" s="17"/>
      <c r="F78" s="31"/>
      <c r="G78" s="31"/>
      <c r="H78" s="32"/>
      <c r="J78" s="4">
        <f t="shared" si="3"/>
        <v>-28738552.708000004</v>
      </c>
      <c r="K78" s="6">
        <f t="shared" si="4"/>
        <v>0</v>
      </c>
      <c r="L78" s="9">
        <f t="shared" si="5"/>
        <v>0</v>
      </c>
    </row>
    <row r="79" spans="1:12" ht="12.75">
      <c r="A79" s="14">
        <v>39106</v>
      </c>
      <c r="B79" s="47" t="s">
        <v>20</v>
      </c>
      <c r="D79" s="17">
        <v>-116600</v>
      </c>
      <c r="E79" s="17"/>
      <c r="F79" s="31"/>
      <c r="G79" s="31"/>
      <c r="H79" s="32"/>
      <c r="J79" s="4">
        <f t="shared" si="3"/>
        <v>-28855152.708000004</v>
      </c>
      <c r="K79" s="6">
        <f t="shared" si="4"/>
        <v>0</v>
      </c>
      <c r="L79" s="9">
        <f t="shared" si="5"/>
        <v>0</v>
      </c>
    </row>
    <row r="80" spans="1:12" ht="12.75">
      <c r="A80" s="14">
        <v>39106</v>
      </c>
      <c r="B80" s="47" t="s">
        <v>21</v>
      </c>
      <c r="D80" s="17">
        <v>-63000</v>
      </c>
      <c r="E80" s="17"/>
      <c r="F80" s="31"/>
      <c r="G80" s="31"/>
      <c r="H80" s="32"/>
      <c r="J80" s="4">
        <f t="shared" si="3"/>
        <v>-28918152.708000004</v>
      </c>
      <c r="K80" s="6">
        <f t="shared" si="4"/>
        <v>0</v>
      </c>
      <c r="L80" s="9">
        <f t="shared" si="5"/>
        <v>0</v>
      </c>
    </row>
    <row r="81" spans="1:12" ht="12.75">
      <c r="A81" s="14">
        <v>39106</v>
      </c>
      <c r="B81" s="58" t="s">
        <v>37</v>
      </c>
      <c r="C81" s="53"/>
      <c r="D81" s="54"/>
      <c r="E81" s="54"/>
      <c r="F81" s="55"/>
      <c r="G81" s="17">
        <v>-2840.78</v>
      </c>
      <c r="H81" s="56"/>
      <c r="J81" s="4">
        <f t="shared" si="3"/>
        <v>-28920993.488000005</v>
      </c>
      <c r="K81" s="6">
        <f t="shared" si="4"/>
        <v>0</v>
      </c>
      <c r="L81" s="9">
        <f t="shared" si="5"/>
        <v>0</v>
      </c>
    </row>
    <row r="82" spans="1:12" ht="12.75">
      <c r="A82" s="14">
        <v>39106</v>
      </c>
      <c r="B82" s="58" t="s">
        <v>37</v>
      </c>
      <c r="C82" s="53"/>
      <c r="D82" s="54"/>
      <c r="E82" s="54"/>
      <c r="F82" s="55"/>
      <c r="G82" s="17">
        <v>-18731.14</v>
      </c>
      <c r="H82" s="56"/>
      <c r="J82" s="4">
        <f t="shared" si="3"/>
        <v>-28939724.628000006</v>
      </c>
      <c r="K82" s="6">
        <f t="shared" si="4"/>
        <v>0</v>
      </c>
      <c r="L82" s="9">
        <f t="shared" si="5"/>
        <v>0</v>
      </c>
    </row>
    <row r="83" spans="1:12" ht="12.75">
      <c r="A83" s="14">
        <v>39106</v>
      </c>
      <c r="B83" s="58" t="s">
        <v>37</v>
      </c>
      <c r="C83" s="53"/>
      <c r="D83" s="54"/>
      <c r="E83" s="54"/>
      <c r="F83" s="55"/>
      <c r="G83" s="17">
        <v>-8979</v>
      </c>
      <c r="H83" s="56"/>
      <c r="J83" s="4">
        <f t="shared" si="3"/>
        <v>-28948703.628000006</v>
      </c>
      <c r="K83" s="6">
        <f t="shared" si="4"/>
        <v>0</v>
      </c>
      <c r="L83" s="9">
        <f t="shared" si="5"/>
        <v>0</v>
      </c>
    </row>
    <row r="84" spans="1:12" ht="12.75">
      <c r="A84" s="14">
        <v>39106</v>
      </c>
      <c r="B84" s="58" t="s">
        <v>37</v>
      </c>
      <c r="C84" s="53"/>
      <c r="D84" s="54"/>
      <c r="E84" s="54"/>
      <c r="F84" s="55"/>
      <c r="G84" s="17">
        <v>-1776.73</v>
      </c>
      <c r="H84" s="56"/>
      <c r="J84" s="4">
        <f t="shared" si="3"/>
        <v>-28950480.358000007</v>
      </c>
      <c r="K84" s="6">
        <f t="shared" si="4"/>
        <v>2</v>
      </c>
      <c r="L84" s="9">
        <f t="shared" si="5"/>
        <v>-31726.55381698631</v>
      </c>
    </row>
    <row r="85" spans="1:12" ht="12.75">
      <c r="A85" s="14">
        <v>39108</v>
      </c>
      <c r="B85" s="47" t="s">
        <v>45</v>
      </c>
      <c r="C85" s="53"/>
      <c r="D85" s="48">
        <v>-787232.2</v>
      </c>
      <c r="E85" s="54"/>
      <c r="F85" s="55"/>
      <c r="G85" s="17"/>
      <c r="H85" s="56"/>
      <c r="J85" s="4">
        <f t="shared" si="3"/>
        <v>-29737712.558000006</v>
      </c>
      <c r="K85" s="6">
        <f t="shared" si="4"/>
        <v>0</v>
      </c>
      <c r="L85" s="9">
        <f t="shared" si="5"/>
        <v>0</v>
      </c>
    </row>
    <row r="86" spans="1:12" ht="12.75">
      <c r="A86" s="14">
        <v>39108</v>
      </c>
      <c r="B86" s="47" t="s">
        <v>27</v>
      </c>
      <c r="C86" s="53"/>
      <c r="D86" s="48">
        <v>-50610</v>
      </c>
      <c r="E86" s="54"/>
      <c r="F86" s="55"/>
      <c r="G86" s="17"/>
      <c r="H86" s="56"/>
      <c r="J86" s="4">
        <f t="shared" si="3"/>
        <v>-29788322.558000006</v>
      </c>
      <c r="K86" s="6">
        <f t="shared" si="4"/>
        <v>0</v>
      </c>
      <c r="L86" s="9">
        <f t="shared" si="5"/>
        <v>0</v>
      </c>
    </row>
    <row r="87" spans="1:12" ht="12.75">
      <c r="A87" s="14">
        <v>39108</v>
      </c>
      <c r="B87" s="47" t="s">
        <v>45</v>
      </c>
      <c r="C87" s="53"/>
      <c r="D87" s="48">
        <v>-775000</v>
      </c>
      <c r="E87" s="54"/>
      <c r="F87" s="55"/>
      <c r="G87" s="17"/>
      <c r="H87" s="56"/>
      <c r="J87" s="4">
        <f t="shared" si="3"/>
        <v>-30563322.558000006</v>
      </c>
      <c r="K87" s="6">
        <f t="shared" si="4"/>
        <v>0</v>
      </c>
      <c r="L87" s="9">
        <f t="shared" si="5"/>
        <v>0</v>
      </c>
    </row>
    <row r="88" spans="1:12" ht="12.75">
      <c r="A88" s="14">
        <v>39108</v>
      </c>
      <c r="B88" s="47" t="s">
        <v>20</v>
      </c>
      <c r="C88" s="53"/>
      <c r="D88" s="48">
        <v>-137800</v>
      </c>
      <c r="E88" s="54"/>
      <c r="F88" s="55"/>
      <c r="G88" s="17"/>
      <c r="H88" s="56"/>
      <c r="J88" s="4">
        <f t="shared" si="3"/>
        <v>-30701122.558000006</v>
      </c>
      <c r="K88" s="6">
        <f t="shared" si="4"/>
        <v>0</v>
      </c>
      <c r="L88" s="9">
        <f t="shared" si="5"/>
        <v>0</v>
      </c>
    </row>
    <row r="89" spans="1:12" ht="12.75">
      <c r="A89" s="14">
        <v>39108</v>
      </c>
      <c r="B89" s="47" t="s">
        <v>21</v>
      </c>
      <c r="C89" s="53"/>
      <c r="D89" s="48">
        <f>-9433.96*1.05</f>
        <v>-9905.658</v>
      </c>
      <c r="E89" s="54"/>
      <c r="F89" s="55"/>
      <c r="G89" s="17"/>
      <c r="H89" s="56"/>
      <c r="J89" s="4">
        <f t="shared" si="3"/>
        <v>-30711028.216000006</v>
      </c>
      <c r="K89" s="6">
        <f t="shared" si="4"/>
        <v>0</v>
      </c>
      <c r="L89" s="9">
        <f t="shared" si="5"/>
        <v>0</v>
      </c>
    </row>
    <row r="90" spans="1:12" ht="12.75">
      <c r="A90" s="14">
        <v>39108</v>
      </c>
      <c r="B90" s="47" t="s">
        <v>7</v>
      </c>
      <c r="E90" s="17">
        <v>-54530</v>
      </c>
      <c r="F90" s="31"/>
      <c r="G90" s="17"/>
      <c r="H90" s="32"/>
      <c r="J90" s="4">
        <f t="shared" si="3"/>
        <v>-30765558.216000006</v>
      </c>
      <c r="K90" s="6">
        <f t="shared" si="4"/>
        <v>1</v>
      </c>
      <c r="L90" s="9">
        <f t="shared" si="5"/>
        <v>-16857.84011835617</v>
      </c>
    </row>
    <row r="91" spans="1:12" ht="12.75">
      <c r="A91" s="14">
        <v>39109</v>
      </c>
      <c r="B91" s="47" t="s">
        <v>7</v>
      </c>
      <c r="E91" s="17">
        <v>-41230</v>
      </c>
      <c r="F91" s="31"/>
      <c r="G91" s="31"/>
      <c r="H91" s="32"/>
      <c r="J91" s="4">
        <f t="shared" si="3"/>
        <v>-30806788.216000006</v>
      </c>
      <c r="K91" s="6">
        <f t="shared" si="4"/>
        <v>1</v>
      </c>
      <c r="L91" s="9">
        <f t="shared" si="5"/>
        <v>-16880.431899178086</v>
      </c>
    </row>
    <row r="92" spans="1:12" ht="12.75">
      <c r="A92" s="14">
        <v>39110</v>
      </c>
      <c r="B92" s="47" t="s">
        <v>7</v>
      </c>
      <c r="E92" s="17">
        <f>-36575</f>
        <v>-36575</v>
      </c>
      <c r="F92" s="31"/>
      <c r="G92" s="31"/>
      <c r="H92" s="32"/>
      <c r="J92" s="4">
        <f t="shared" si="3"/>
        <v>-30843363.216000006</v>
      </c>
      <c r="K92" s="6">
        <f t="shared" si="4"/>
        <v>0</v>
      </c>
      <c r="L92" s="9">
        <f t="shared" si="5"/>
        <v>0</v>
      </c>
    </row>
    <row r="93" spans="1:12" ht="12.75">
      <c r="A93" s="14">
        <v>39110</v>
      </c>
      <c r="B93" s="47" t="s">
        <v>7</v>
      </c>
      <c r="E93" s="17">
        <v>-83125</v>
      </c>
      <c r="F93" s="31"/>
      <c r="G93" s="31"/>
      <c r="H93" s="32"/>
      <c r="J93" s="4">
        <f t="shared" si="3"/>
        <v>-30926488.216000006</v>
      </c>
      <c r="K93" s="6">
        <f t="shared" si="4"/>
        <v>0</v>
      </c>
      <c r="L93" s="9">
        <f t="shared" si="5"/>
        <v>0</v>
      </c>
    </row>
    <row r="94" spans="1:12" ht="12.75">
      <c r="A94" s="14">
        <v>39110</v>
      </c>
      <c r="B94" s="47" t="s">
        <v>7</v>
      </c>
      <c r="E94" s="17">
        <v>-86450</v>
      </c>
      <c r="F94" s="31"/>
      <c r="G94" s="31"/>
      <c r="H94" s="32"/>
      <c r="J94" s="4">
        <f t="shared" si="3"/>
        <v>-31012938.216000006</v>
      </c>
      <c r="K94" s="6">
        <f t="shared" si="4"/>
        <v>1</v>
      </c>
      <c r="L94" s="9">
        <f t="shared" si="5"/>
        <v>-16993.390803287675</v>
      </c>
    </row>
    <row r="95" spans="1:12" ht="12.75">
      <c r="A95" s="14">
        <v>39111</v>
      </c>
      <c r="B95" s="47" t="s">
        <v>27</v>
      </c>
      <c r="D95" s="48">
        <v>-20310</v>
      </c>
      <c r="E95" s="17"/>
      <c r="F95" s="31"/>
      <c r="G95" s="31"/>
      <c r="H95" s="32"/>
      <c r="J95" s="4">
        <f t="shared" si="3"/>
        <v>-31033248.216000006</v>
      </c>
      <c r="K95" s="6">
        <f t="shared" si="4"/>
        <v>0</v>
      </c>
      <c r="L95" s="9">
        <f t="shared" si="5"/>
        <v>0</v>
      </c>
    </row>
    <row r="96" spans="1:12" ht="12.75">
      <c r="A96" s="14">
        <v>39111</v>
      </c>
      <c r="B96" s="47" t="s">
        <v>27</v>
      </c>
      <c r="D96" s="48">
        <v>-50610</v>
      </c>
      <c r="E96" s="17"/>
      <c r="F96" s="31"/>
      <c r="G96" s="31"/>
      <c r="H96" s="32"/>
      <c r="J96" s="4">
        <f t="shared" si="3"/>
        <v>-31083858.216000006</v>
      </c>
      <c r="K96" s="6">
        <f t="shared" si="4"/>
        <v>0</v>
      </c>
      <c r="L96" s="9">
        <f t="shared" si="5"/>
        <v>0</v>
      </c>
    </row>
    <row r="97" spans="1:12" ht="12.75">
      <c r="A97" s="23">
        <v>39111</v>
      </c>
      <c r="B97" s="63" t="s">
        <v>21</v>
      </c>
      <c r="D97" s="17">
        <v>-4348.64</v>
      </c>
      <c r="E97" s="17"/>
      <c r="F97" s="31"/>
      <c r="G97" s="31"/>
      <c r="H97" s="32"/>
      <c r="J97" s="4">
        <f t="shared" si="3"/>
        <v>-31088206.856000006</v>
      </c>
      <c r="K97" s="6">
        <f t="shared" si="4"/>
        <v>1</v>
      </c>
      <c r="L97" s="9">
        <f t="shared" si="5"/>
        <v>-17034.633893698636</v>
      </c>
    </row>
    <row r="98" spans="1:12" ht="12.75">
      <c r="A98" s="14">
        <v>39112</v>
      </c>
      <c r="B98" s="47" t="s">
        <v>20</v>
      </c>
      <c r="D98" s="49">
        <v>-530000</v>
      </c>
      <c r="E98" s="17"/>
      <c r="F98" s="31"/>
      <c r="G98" s="31"/>
      <c r="H98" s="32"/>
      <c r="J98" s="4">
        <f t="shared" si="3"/>
        <v>-31618206.856000006</v>
      </c>
      <c r="K98" s="6">
        <f t="shared" si="4"/>
        <v>0</v>
      </c>
      <c r="L98" s="9">
        <f t="shared" si="5"/>
        <v>0</v>
      </c>
    </row>
    <row r="99" spans="1:12" ht="12.75">
      <c r="A99" s="14">
        <v>39112</v>
      </c>
      <c r="B99" s="47" t="s">
        <v>20</v>
      </c>
      <c r="D99" s="49">
        <v>-78101.6</v>
      </c>
      <c r="E99" s="17"/>
      <c r="F99" s="31"/>
      <c r="G99" s="31"/>
      <c r="H99" s="32"/>
      <c r="J99" s="4">
        <f t="shared" si="3"/>
        <v>-31696308.456000008</v>
      </c>
      <c r="K99" s="6">
        <f t="shared" si="4"/>
        <v>0</v>
      </c>
      <c r="L99" s="9">
        <f t="shared" si="5"/>
        <v>0</v>
      </c>
    </row>
    <row r="100" spans="1:12" ht="12.75">
      <c r="A100" s="14">
        <v>39112</v>
      </c>
      <c r="B100" s="47" t="s">
        <v>7</v>
      </c>
      <c r="D100" s="33"/>
      <c r="E100" s="17">
        <v>-83850</v>
      </c>
      <c r="F100" s="31"/>
      <c r="G100" s="31"/>
      <c r="H100" s="32"/>
      <c r="J100" s="4">
        <f t="shared" si="3"/>
        <v>-31780158.456000008</v>
      </c>
      <c r="K100" s="6">
        <f t="shared" si="4"/>
        <v>1</v>
      </c>
      <c r="L100" s="9">
        <f t="shared" si="5"/>
        <v>-17413.785455342473</v>
      </c>
    </row>
    <row r="101" spans="1:12" ht="12.75">
      <c r="A101" s="14">
        <v>39113</v>
      </c>
      <c r="B101" s="47" t="s">
        <v>22</v>
      </c>
      <c r="D101" s="49">
        <v>-485000</v>
      </c>
      <c r="E101" s="17"/>
      <c r="F101" s="31"/>
      <c r="G101" s="31"/>
      <c r="H101" s="32"/>
      <c r="J101" s="4">
        <f t="shared" si="3"/>
        <v>-32265158.456000008</v>
      </c>
      <c r="K101" s="6">
        <f t="shared" si="4"/>
        <v>0</v>
      </c>
      <c r="L101" s="9">
        <f t="shared" si="5"/>
        <v>0</v>
      </c>
    </row>
    <row r="102" spans="1:12" ht="12.75">
      <c r="A102" s="14">
        <v>39113</v>
      </c>
      <c r="B102" s="47" t="s">
        <v>7</v>
      </c>
      <c r="D102" s="33"/>
      <c r="E102" s="17">
        <f>-83850</f>
        <v>-83850</v>
      </c>
      <c r="F102" s="31"/>
      <c r="G102" s="31"/>
      <c r="H102" s="32"/>
      <c r="J102" s="4">
        <f t="shared" si="3"/>
        <v>-32349008.456000008</v>
      </c>
      <c r="K102" s="6">
        <f t="shared" si="4"/>
        <v>0</v>
      </c>
      <c r="L102" s="9">
        <f t="shared" si="5"/>
        <v>0</v>
      </c>
    </row>
    <row r="103" spans="1:12" ht="12.75">
      <c r="A103" s="14">
        <v>39113</v>
      </c>
      <c r="B103" s="47" t="s">
        <v>7</v>
      </c>
      <c r="D103" s="33"/>
      <c r="E103" s="17">
        <v>-41925</v>
      </c>
      <c r="F103" s="31"/>
      <c r="G103" s="31"/>
      <c r="H103" s="32"/>
      <c r="J103" s="4">
        <f t="shared" si="3"/>
        <v>-32390933.456000008</v>
      </c>
      <c r="K103" s="6">
        <f t="shared" si="4"/>
        <v>0</v>
      </c>
      <c r="L103" s="9">
        <f t="shared" si="5"/>
        <v>0</v>
      </c>
    </row>
    <row r="104" spans="1:12" ht="12.75">
      <c r="A104" s="23">
        <v>39113</v>
      </c>
      <c r="B104" s="63" t="s">
        <v>47</v>
      </c>
      <c r="D104" s="33"/>
      <c r="E104" s="17"/>
      <c r="F104" s="31"/>
      <c r="G104" s="17">
        <v>-428045</v>
      </c>
      <c r="H104" s="32"/>
      <c r="J104" s="4">
        <f t="shared" si="3"/>
        <v>-32818978.456000008</v>
      </c>
      <c r="K104" s="6">
        <f t="shared" si="4"/>
        <v>0</v>
      </c>
      <c r="L104" s="9">
        <f t="shared" si="5"/>
        <v>0</v>
      </c>
    </row>
    <row r="105" spans="1:12" ht="12.75">
      <c r="A105" s="14">
        <v>39113</v>
      </c>
      <c r="B105" s="57" t="s">
        <v>52</v>
      </c>
      <c r="D105" s="33"/>
      <c r="E105" s="17"/>
      <c r="F105" s="31"/>
      <c r="G105" s="17"/>
      <c r="H105" s="61">
        <v>-142667.94</v>
      </c>
      <c r="J105" s="4">
        <f t="shared" si="3"/>
        <v>-32961646.39600001</v>
      </c>
      <c r="K105" s="6">
        <f t="shared" si="4"/>
        <v>0</v>
      </c>
      <c r="L105" s="9">
        <f t="shared" si="5"/>
        <v>0</v>
      </c>
    </row>
    <row r="106" spans="1:12" ht="12.75">
      <c r="A106" s="14">
        <v>39113</v>
      </c>
      <c r="B106" s="57" t="s">
        <v>53</v>
      </c>
      <c r="D106" s="33"/>
      <c r="E106" s="17"/>
      <c r="F106" s="31"/>
      <c r="G106" s="17"/>
      <c r="H106" s="61">
        <v>-29333.33</v>
      </c>
      <c r="J106" s="4">
        <f t="shared" si="3"/>
        <v>-32990979.726000007</v>
      </c>
      <c r="K106" s="6">
        <f t="shared" si="4"/>
        <v>0</v>
      </c>
      <c r="L106" s="9">
        <f t="shared" si="5"/>
        <v>0</v>
      </c>
    </row>
    <row r="107" spans="1:12" ht="12.75">
      <c r="A107" s="14">
        <v>39113</v>
      </c>
      <c r="B107" s="57" t="s">
        <v>53</v>
      </c>
      <c r="D107" s="33"/>
      <c r="E107" s="17"/>
      <c r="F107" s="31"/>
      <c r="G107" s="17"/>
      <c r="H107" s="61">
        <f>-53866.67-126400-13323.86</f>
        <v>-193590.52999999997</v>
      </c>
      <c r="J107" s="4">
        <f t="shared" si="3"/>
        <v>-33184570.25600001</v>
      </c>
      <c r="K107" s="6">
        <f t="shared" si="4"/>
        <v>0</v>
      </c>
      <c r="L107" s="9">
        <f t="shared" si="5"/>
        <v>0</v>
      </c>
    </row>
    <row r="108" spans="1:12" ht="12.75">
      <c r="A108" s="14">
        <v>39113</v>
      </c>
      <c r="B108" s="57" t="s">
        <v>53</v>
      </c>
      <c r="D108" s="33"/>
      <c r="E108" s="17"/>
      <c r="F108" s="31"/>
      <c r="G108" s="17"/>
      <c r="H108" s="61">
        <v>-16000</v>
      </c>
      <c r="J108" s="4">
        <f t="shared" si="3"/>
        <v>-33200570.25600001</v>
      </c>
      <c r="K108" s="6">
        <f t="shared" si="4"/>
        <v>0</v>
      </c>
      <c r="L108" s="9">
        <f t="shared" si="5"/>
        <v>0</v>
      </c>
    </row>
    <row r="109" spans="1:14" ht="12.75">
      <c r="A109" s="14">
        <v>39113</v>
      </c>
      <c r="B109" s="57" t="s">
        <v>54</v>
      </c>
      <c r="D109" s="33"/>
      <c r="E109" s="17"/>
      <c r="F109" s="31"/>
      <c r="G109" s="17"/>
      <c r="H109" s="61">
        <v>-150000</v>
      </c>
      <c r="J109" s="4">
        <f t="shared" si="3"/>
        <v>-33350570.25600001</v>
      </c>
      <c r="K109" s="6">
        <f t="shared" si="4"/>
        <v>0</v>
      </c>
      <c r="L109" s="9">
        <f t="shared" si="5"/>
        <v>0</v>
      </c>
      <c r="N109" s="51"/>
    </row>
    <row r="110" spans="1:12" ht="12.75">
      <c r="A110" s="14">
        <v>39113</v>
      </c>
      <c r="B110" s="57" t="s">
        <v>55</v>
      </c>
      <c r="D110" s="33"/>
      <c r="E110" s="17"/>
      <c r="F110" s="31"/>
      <c r="G110" s="17"/>
      <c r="H110" s="61">
        <v>-213084.16</v>
      </c>
      <c r="J110" s="4">
        <f t="shared" si="3"/>
        <v>-33563654.41600001</v>
      </c>
      <c r="K110" s="6">
        <f t="shared" si="4"/>
        <v>1</v>
      </c>
      <c r="L110" s="9">
        <f t="shared" si="5"/>
        <v>-18391.043515616442</v>
      </c>
    </row>
    <row r="111" spans="1:12" ht="12.75">
      <c r="A111" s="14">
        <v>39114</v>
      </c>
      <c r="B111" s="30" t="s">
        <v>50</v>
      </c>
      <c r="C111" s="64">
        <f>4039005.31*0.8</f>
        <v>3231204.248</v>
      </c>
      <c r="D111" s="33"/>
      <c r="E111" s="17"/>
      <c r="F111" s="31"/>
      <c r="G111" s="17"/>
      <c r="H111" s="32"/>
      <c r="J111" s="4">
        <f t="shared" si="3"/>
        <v>-33563654.41600001</v>
      </c>
      <c r="K111" s="6">
        <f t="shared" si="4"/>
        <v>0</v>
      </c>
      <c r="L111" s="9">
        <f t="shared" si="5"/>
        <v>0</v>
      </c>
    </row>
    <row r="112" spans="1:12" ht="12.75">
      <c r="A112" s="14">
        <v>39114</v>
      </c>
      <c r="B112" s="13" t="s">
        <v>32</v>
      </c>
      <c r="C112" s="17">
        <f>-C111</f>
        <v>-3231204.248</v>
      </c>
      <c r="D112" s="46"/>
      <c r="E112" s="17"/>
      <c r="F112" s="31"/>
      <c r="G112" s="31"/>
      <c r="H112" s="32">
        <f>-C112</f>
        <v>3231204.248</v>
      </c>
      <c r="J112" s="4">
        <f t="shared" si="3"/>
        <v>-30332450.16800001</v>
      </c>
      <c r="K112" s="6">
        <f t="shared" si="4"/>
        <v>0</v>
      </c>
      <c r="L112" s="9">
        <f t="shared" si="5"/>
        <v>0</v>
      </c>
    </row>
    <row r="113" spans="1:12" ht="12.75">
      <c r="A113" s="14">
        <v>39114</v>
      </c>
      <c r="B113" s="63" t="s">
        <v>22</v>
      </c>
      <c r="D113" s="15">
        <v>-515000</v>
      </c>
      <c r="E113" s="17"/>
      <c r="F113" s="31"/>
      <c r="G113" s="31"/>
      <c r="H113" s="32"/>
      <c r="J113" s="4">
        <f t="shared" si="3"/>
        <v>-30847450.16800001</v>
      </c>
      <c r="K113" s="6">
        <f t="shared" si="4"/>
        <v>0</v>
      </c>
      <c r="L113" s="9">
        <f t="shared" si="5"/>
        <v>0</v>
      </c>
    </row>
    <row r="114" spans="1:12" ht="12.75">
      <c r="A114" s="23">
        <v>39114</v>
      </c>
      <c r="B114" s="63" t="s">
        <v>39</v>
      </c>
      <c r="D114" s="15">
        <v>-144000</v>
      </c>
      <c r="E114" s="17"/>
      <c r="F114" s="31"/>
      <c r="G114" s="31"/>
      <c r="H114" s="32"/>
      <c r="J114" s="4">
        <f t="shared" si="3"/>
        <v>-30991450.16800001</v>
      </c>
      <c r="K114" s="6">
        <f t="shared" si="4"/>
        <v>0</v>
      </c>
      <c r="L114" s="9">
        <f t="shared" si="5"/>
        <v>0</v>
      </c>
    </row>
    <row r="115" spans="1:12" ht="12.75">
      <c r="A115" s="23">
        <v>39114</v>
      </c>
      <c r="B115" s="63" t="s">
        <v>21</v>
      </c>
      <c r="D115" s="15">
        <v>-3954.8</v>
      </c>
      <c r="E115" s="17"/>
      <c r="F115" s="31"/>
      <c r="G115" s="31"/>
      <c r="H115" s="32"/>
      <c r="J115" s="4">
        <f t="shared" si="3"/>
        <v>-30995404.96800001</v>
      </c>
      <c r="K115" s="6">
        <f t="shared" si="4"/>
        <v>0</v>
      </c>
      <c r="L115" s="9">
        <f t="shared" si="5"/>
        <v>0</v>
      </c>
    </row>
    <row r="116" spans="1:12" ht="12.75">
      <c r="A116" s="14">
        <v>39114</v>
      </c>
      <c r="B116" s="63" t="s">
        <v>20</v>
      </c>
      <c r="D116" s="15">
        <v>-106000</v>
      </c>
      <c r="E116" s="17"/>
      <c r="F116" s="31"/>
      <c r="G116" s="31"/>
      <c r="H116" s="32"/>
      <c r="J116" s="4">
        <f t="shared" si="3"/>
        <v>-31101404.96800001</v>
      </c>
      <c r="K116" s="6">
        <f t="shared" si="4"/>
        <v>1</v>
      </c>
      <c r="L116" s="9">
        <f t="shared" si="5"/>
        <v>-17041.865735890417</v>
      </c>
    </row>
    <row r="117" spans="1:12" ht="12.75">
      <c r="A117" s="23">
        <v>39115</v>
      </c>
      <c r="B117" s="63" t="s">
        <v>67</v>
      </c>
      <c r="D117" s="15">
        <v>355106.5</v>
      </c>
      <c r="E117" s="17"/>
      <c r="F117" s="31"/>
      <c r="G117" s="31"/>
      <c r="H117" s="32"/>
      <c r="J117" s="4">
        <f t="shared" si="3"/>
        <v>-30746298.46800001</v>
      </c>
      <c r="K117" s="6">
        <f t="shared" si="4"/>
        <v>0</v>
      </c>
      <c r="L117" s="9">
        <f t="shared" si="5"/>
        <v>0</v>
      </c>
    </row>
    <row r="118" spans="1:12" ht="12.75">
      <c r="A118" s="23">
        <v>39115</v>
      </c>
      <c r="B118" s="63" t="s">
        <v>20</v>
      </c>
      <c r="D118" s="15">
        <v>-201400</v>
      </c>
      <c r="E118" s="17"/>
      <c r="F118" s="31"/>
      <c r="G118" s="31"/>
      <c r="H118" s="32"/>
      <c r="J118" s="4">
        <f t="shared" si="3"/>
        <v>-30947698.46800001</v>
      </c>
      <c r="K118" s="6">
        <f t="shared" si="4"/>
        <v>3</v>
      </c>
      <c r="L118" s="9">
        <f t="shared" si="5"/>
        <v>-50872.92898849317</v>
      </c>
    </row>
    <row r="119" spans="1:12" ht="12.75">
      <c r="A119" s="14">
        <v>39118</v>
      </c>
      <c r="B119" s="63" t="s">
        <v>20</v>
      </c>
      <c r="D119" s="15">
        <v>-190800</v>
      </c>
      <c r="E119" s="17"/>
      <c r="F119" s="31"/>
      <c r="G119" s="31"/>
      <c r="H119" s="32"/>
      <c r="J119" s="4">
        <f t="shared" si="3"/>
        <v>-31138498.46800001</v>
      </c>
      <c r="K119" s="6">
        <f t="shared" si="4"/>
        <v>0</v>
      </c>
      <c r="L119" s="9">
        <f t="shared" si="5"/>
        <v>0</v>
      </c>
    </row>
    <row r="120" spans="1:12" ht="12.75">
      <c r="A120" s="14">
        <v>39118</v>
      </c>
      <c r="B120" s="63" t="s">
        <v>28</v>
      </c>
      <c r="D120" s="15">
        <v>-262500</v>
      </c>
      <c r="E120" s="17"/>
      <c r="F120" s="31"/>
      <c r="G120" s="31"/>
      <c r="H120" s="32"/>
      <c r="J120" s="4">
        <f t="shared" si="3"/>
        <v>-31400998.46800001</v>
      </c>
      <c r="K120" s="6">
        <f t="shared" si="4"/>
        <v>0</v>
      </c>
      <c r="L120" s="9">
        <f t="shared" si="5"/>
        <v>0</v>
      </c>
    </row>
    <row r="121" spans="1:12" ht="12.75">
      <c r="A121" s="14">
        <v>39118</v>
      </c>
      <c r="B121" s="63" t="s">
        <v>21</v>
      </c>
      <c r="D121" s="15">
        <v>-6146.14</v>
      </c>
      <c r="E121" s="17"/>
      <c r="F121" s="31"/>
      <c r="G121" s="31"/>
      <c r="H121" s="32"/>
      <c r="J121" s="4">
        <f t="shared" si="3"/>
        <v>-31407144.60800001</v>
      </c>
      <c r="K121" s="6">
        <f t="shared" si="4"/>
        <v>1</v>
      </c>
      <c r="L121" s="9">
        <f t="shared" si="5"/>
        <v>-17209.39430575343</v>
      </c>
    </row>
    <row r="122" spans="1:12" ht="12.75">
      <c r="A122" s="14">
        <v>39119</v>
      </c>
      <c r="B122" s="63" t="s">
        <v>20</v>
      </c>
      <c r="D122" s="15">
        <v>-169600</v>
      </c>
      <c r="E122" s="17"/>
      <c r="F122" s="31"/>
      <c r="G122" s="31"/>
      <c r="H122" s="32"/>
      <c r="J122" s="4">
        <f t="shared" si="3"/>
        <v>-31576744.60800001</v>
      </c>
      <c r="K122" s="6">
        <f t="shared" si="4"/>
        <v>0</v>
      </c>
      <c r="L122" s="9">
        <f t="shared" si="5"/>
        <v>0</v>
      </c>
    </row>
    <row r="123" spans="1:12" ht="12.75">
      <c r="A123" s="14">
        <v>39119</v>
      </c>
      <c r="B123" s="63" t="s">
        <v>51</v>
      </c>
      <c r="D123" s="15">
        <v>-1325000</v>
      </c>
      <c r="E123" s="17"/>
      <c r="F123" s="31"/>
      <c r="G123" s="31"/>
      <c r="H123" s="32"/>
      <c r="J123" s="4">
        <f t="shared" si="3"/>
        <v>-32901744.60800001</v>
      </c>
      <c r="K123" s="6">
        <f t="shared" si="4"/>
        <v>0</v>
      </c>
      <c r="L123" s="9">
        <f t="shared" si="5"/>
        <v>0</v>
      </c>
    </row>
    <row r="124" spans="1:12" ht="12.75">
      <c r="A124" s="14">
        <v>39119</v>
      </c>
      <c r="B124" s="63" t="s">
        <v>21</v>
      </c>
      <c r="D124" s="15">
        <v>-1978.89</v>
      </c>
      <c r="E124" s="17"/>
      <c r="F124" s="31"/>
      <c r="G124" s="31"/>
      <c r="H124" s="32"/>
      <c r="J124" s="4">
        <f t="shared" si="3"/>
        <v>-32903723.49800001</v>
      </c>
      <c r="K124" s="6">
        <f t="shared" si="4"/>
        <v>1</v>
      </c>
      <c r="L124" s="9">
        <f t="shared" si="5"/>
        <v>-18029.437533150693</v>
      </c>
    </row>
    <row r="125" spans="1:12" ht="12.75">
      <c r="A125" s="14">
        <v>39120</v>
      </c>
      <c r="B125" s="63" t="s">
        <v>20</v>
      </c>
      <c r="D125" s="48">
        <v>-99886.56</v>
      </c>
      <c r="E125" s="17"/>
      <c r="F125" s="31"/>
      <c r="G125" s="31"/>
      <c r="H125" s="32"/>
      <c r="J125" s="4">
        <f t="shared" si="3"/>
        <v>-33003610.05800001</v>
      </c>
      <c r="K125" s="6">
        <f t="shared" si="4"/>
        <v>0</v>
      </c>
      <c r="L125" s="9">
        <f t="shared" si="5"/>
        <v>0</v>
      </c>
    </row>
    <row r="126" spans="1:12" ht="12.75">
      <c r="A126" s="14">
        <v>39120</v>
      </c>
      <c r="B126" s="63" t="s">
        <v>20</v>
      </c>
      <c r="D126" s="48">
        <v>-192089.46</v>
      </c>
      <c r="E126" s="17"/>
      <c r="F126" s="31"/>
      <c r="G126" s="31"/>
      <c r="H126" s="32"/>
      <c r="J126" s="4">
        <f t="shared" si="3"/>
        <v>-33195699.51800001</v>
      </c>
      <c r="K126" s="6">
        <f t="shared" si="4"/>
        <v>0</v>
      </c>
      <c r="L126" s="9">
        <f t="shared" si="5"/>
        <v>0</v>
      </c>
    </row>
    <row r="127" spans="1:12" ht="12.75">
      <c r="A127" s="14">
        <v>39120</v>
      </c>
      <c r="B127" s="63" t="s">
        <v>21</v>
      </c>
      <c r="D127" s="48">
        <v>-52500</v>
      </c>
      <c r="E127" s="17"/>
      <c r="F127" s="31"/>
      <c r="G127" s="31"/>
      <c r="H127" s="32"/>
      <c r="J127" s="4">
        <f t="shared" si="3"/>
        <v>-33248199.51800001</v>
      </c>
      <c r="K127" s="6">
        <f t="shared" si="4"/>
        <v>0</v>
      </c>
      <c r="L127" s="9">
        <f t="shared" si="5"/>
        <v>0</v>
      </c>
    </row>
    <row r="128" spans="1:12" ht="12.75">
      <c r="A128" s="14">
        <v>39120</v>
      </c>
      <c r="B128" s="63" t="s">
        <v>20</v>
      </c>
      <c r="D128" s="49">
        <v>-530000</v>
      </c>
      <c r="E128" s="17"/>
      <c r="F128" s="31"/>
      <c r="G128" s="31"/>
      <c r="H128" s="32"/>
      <c r="J128" s="4">
        <f t="shared" si="3"/>
        <v>-33778199.51800001</v>
      </c>
      <c r="K128" s="6">
        <f t="shared" si="4"/>
        <v>1</v>
      </c>
      <c r="L128" s="9">
        <f t="shared" si="5"/>
        <v>-18508.602475616444</v>
      </c>
    </row>
    <row r="129" spans="1:12" ht="12.75">
      <c r="A129" s="14">
        <v>39121</v>
      </c>
      <c r="B129" s="47" t="s">
        <v>63</v>
      </c>
      <c r="D129" s="48">
        <v>-200000</v>
      </c>
      <c r="E129" s="17"/>
      <c r="F129" s="31"/>
      <c r="G129" s="31"/>
      <c r="H129" s="32"/>
      <c r="J129" s="4">
        <f t="shared" si="3"/>
        <v>-33978199.51800001</v>
      </c>
      <c r="K129" s="6">
        <f t="shared" si="4"/>
        <v>0</v>
      </c>
      <c r="L129" s="9">
        <f t="shared" si="5"/>
        <v>0</v>
      </c>
    </row>
    <row r="130" spans="1:12" ht="12.75">
      <c r="A130" s="14">
        <v>39121</v>
      </c>
      <c r="B130" s="47" t="s">
        <v>28</v>
      </c>
      <c r="D130" s="48">
        <v>-105000</v>
      </c>
      <c r="E130" s="17"/>
      <c r="F130" s="31"/>
      <c r="G130" s="31"/>
      <c r="H130" s="32"/>
      <c r="J130" s="4">
        <f t="shared" si="3"/>
        <v>-34083199.51800001</v>
      </c>
      <c r="K130" s="6">
        <f t="shared" si="4"/>
        <v>0</v>
      </c>
      <c r="L130" s="9">
        <f t="shared" si="5"/>
        <v>0</v>
      </c>
    </row>
    <row r="131" spans="1:12" ht="12.75">
      <c r="A131" s="14">
        <v>39121</v>
      </c>
      <c r="B131" s="47" t="s">
        <v>21</v>
      </c>
      <c r="D131" s="48">
        <v>-73500</v>
      </c>
      <c r="E131" s="17"/>
      <c r="F131" s="31"/>
      <c r="G131" s="31"/>
      <c r="H131" s="32"/>
      <c r="J131" s="4">
        <f t="shared" si="3"/>
        <v>-34156699.51800001</v>
      </c>
      <c r="K131" s="6">
        <f t="shared" si="4"/>
        <v>0</v>
      </c>
      <c r="L131" s="9">
        <f t="shared" si="5"/>
        <v>0</v>
      </c>
    </row>
    <row r="132" spans="1:12" ht="12.75">
      <c r="A132" s="14">
        <v>39121</v>
      </c>
      <c r="B132" s="47" t="s">
        <v>20</v>
      </c>
      <c r="D132" s="48">
        <v>-28832</v>
      </c>
      <c r="E132" s="17"/>
      <c r="F132" s="31"/>
      <c r="G132" s="31"/>
      <c r="H132" s="32"/>
      <c r="J132" s="4">
        <f t="shared" si="3"/>
        <v>-34185531.51800001</v>
      </c>
      <c r="K132" s="6">
        <f t="shared" si="4"/>
        <v>1</v>
      </c>
      <c r="L132" s="9">
        <f t="shared" si="5"/>
        <v>-18731.7980920548</v>
      </c>
    </row>
    <row r="133" spans="1:12" ht="12.75">
      <c r="A133" s="14">
        <v>39122</v>
      </c>
      <c r="B133" s="47" t="s">
        <v>20</v>
      </c>
      <c r="D133" s="48">
        <v>-192452.58</v>
      </c>
      <c r="E133" s="17"/>
      <c r="F133" s="31"/>
      <c r="G133" s="31"/>
      <c r="H133" s="32"/>
      <c r="J133" s="4">
        <f aca="true" t="shared" si="6" ref="J133:J196">J132+D133+E133+F133+G133+H133+I133</f>
        <v>-34377984.098000005</v>
      </c>
      <c r="K133" s="6">
        <f aca="true" t="shared" si="7" ref="K133:K196">DATEDIF(A133,A134,"d")</f>
        <v>0</v>
      </c>
      <c r="L133" s="9">
        <f aca="true" t="shared" si="8" ref="L133:L196">J133*K133*0.2/365</f>
        <v>0</v>
      </c>
    </row>
    <row r="134" spans="1:12" ht="12.75">
      <c r="A134" s="23">
        <v>39122</v>
      </c>
      <c r="B134" s="63" t="s">
        <v>21</v>
      </c>
      <c r="D134" s="17">
        <v>-3978.78</v>
      </c>
      <c r="E134" s="17"/>
      <c r="F134" s="31"/>
      <c r="G134" s="31"/>
      <c r="H134" s="32"/>
      <c r="J134" s="4">
        <f t="shared" si="6"/>
        <v>-34381962.878000006</v>
      </c>
      <c r="K134" s="6">
        <f t="shared" si="7"/>
        <v>3</v>
      </c>
      <c r="L134" s="9">
        <f t="shared" si="8"/>
        <v>-56518.29514191782</v>
      </c>
    </row>
    <row r="135" spans="1:12" ht="12.75">
      <c r="A135" s="14">
        <v>39125</v>
      </c>
      <c r="B135" s="47" t="s">
        <v>63</v>
      </c>
      <c r="D135" s="48">
        <v>-300000</v>
      </c>
      <c r="E135" s="17"/>
      <c r="F135" s="31"/>
      <c r="G135" s="31"/>
      <c r="H135" s="32"/>
      <c r="J135" s="4">
        <f t="shared" si="6"/>
        <v>-34681962.878000006</v>
      </c>
      <c r="K135" s="6">
        <f t="shared" si="7"/>
        <v>0</v>
      </c>
      <c r="L135" s="9">
        <f t="shared" si="8"/>
        <v>0</v>
      </c>
    </row>
    <row r="136" spans="1:12" ht="12.75">
      <c r="A136" s="14">
        <v>39125</v>
      </c>
      <c r="B136" s="47" t="s">
        <v>21</v>
      </c>
      <c r="D136" s="48">
        <v>-52500</v>
      </c>
      <c r="E136" s="17"/>
      <c r="F136" s="31"/>
      <c r="G136" s="31"/>
      <c r="H136" s="32"/>
      <c r="J136" s="4">
        <f t="shared" si="6"/>
        <v>-34734462.878000006</v>
      </c>
      <c r="K136" s="6">
        <f t="shared" si="7"/>
        <v>0</v>
      </c>
      <c r="L136" s="9">
        <f t="shared" si="8"/>
        <v>0</v>
      </c>
    </row>
    <row r="137" spans="1:12" ht="12.75">
      <c r="A137" s="14">
        <v>39125</v>
      </c>
      <c r="B137" s="47" t="s">
        <v>20</v>
      </c>
      <c r="D137" s="48">
        <v>-74200</v>
      </c>
      <c r="E137" s="17"/>
      <c r="F137" s="31"/>
      <c r="G137" s="31"/>
      <c r="H137" s="32"/>
      <c r="J137" s="4">
        <f t="shared" si="6"/>
        <v>-34808662.878000006</v>
      </c>
      <c r="K137" s="6">
        <f t="shared" si="7"/>
        <v>1</v>
      </c>
      <c r="L137" s="9">
        <f t="shared" si="8"/>
        <v>-19073.23993315069</v>
      </c>
    </row>
    <row r="138" spans="1:12" ht="12.75">
      <c r="A138" s="14">
        <v>39126</v>
      </c>
      <c r="B138" s="47" t="s">
        <v>20</v>
      </c>
      <c r="D138" s="48">
        <v>-114480</v>
      </c>
      <c r="E138" s="17"/>
      <c r="F138" s="31"/>
      <c r="G138" s="31"/>
      <c r="H138" s="32"/>
      <c r="J138" s="4">
        <f t="shared" si="6"/>
        <v>-34923142.878000006</v>
      </c>
      <c r="K138" s="6">
        <f t="shared" si="7"/>
        <v>0</v>
      </c>
      <c r="L138" s="9">
        <f t="shared" si="8"/>
        <v>0</v>
      </c>
    </row>
    <row r="139" spans="1:12" ht="12.75">
      <c r="A139" s="14">
        <v>39126</v>
      </c>
      <c r="B139" s="63" t="s">
        <v>30</v>
      </c>
      <c r="D139" s="49"/>
      <c r="E139" s="17"/>
      <c r="F139" s="31"/>
      <c r="G139" s="48">
        <v>-32338.23</v>
      </c>
      <c r="H139" s="32"/>
      <c r="J139" s="4">
        <f t="shared" si="6"/>
        <v>-34955481.108</v>
      </c>
      <c r="K139" s="6">
        <f t="shared" si="7"/>
        <v>0</v>
      </c>
      <c r="L139" s="9">
        <f t="shared" si="8"/>
        <v>0</v>
      </c>
    </row>
    <row r="140" spans="1:12" ht="12.75">
      <c r="A140" s="14">
        <v>39126</v>
      </c>
      <c r="B140" s="30" t="s">
        <v>68</v>
      </c>
      <c r="C140" s="29">
        <f>1929346.16*0.8</f>
        <v>1543476.928</v>
      </c>
      <c r="D140" s="46"/>
      <c r="E140" s="17"/>
      <c r="F140" s="31"/>
      <c r="G140" s="31"/>
      <c r="H140" s="32"/>
      <c r="J140" s="4">
        <f t="shared" si="6"/>
        <v>-34955481.108</v>
      </c>
      <c r="K140" s="6">
        <f t="shared" si="7"/>
        <v>0</v>
      </c>
      <c r="L140" s="9">
        <f t="shared" si="8"/>
        <v>0</v>
      </c>
    </row>
    <row r="141" spans="1:12" ht="12.75">
      <c r="A141" s="14">
        <v>39126</v>
      </c>
      <c r="B141" s="13" t="s">
        <v>32</v>
      </c>
      <c r="C141" s="17">
        <f>-C140</f>
        <v>-1543476.928</v>
      </c>
      <c r="D141" s="46"/>
      <c r="E141" s="17"/>
      <c r="F141" s="31"/>
      <c r="G141" s="31"/>
      <c r="H141" s="32">
        <f>-C141</f>
        <v>1543476.928</v>
      </c>
      <c r="J141" s="4">
        <f t="shared" si="6"/>
        <v>-33412004.180000003</v>
      </c>
      <c r="K141" s="6">
        <f t="shared" si="7"/>
        <v>0</v>
      </c>
      <c r="L141" s="9">
        <f t="shared" si="8"/>
        <v>0</v>
      </c>
    </row>
    <row r="142" spans="1:12" ht="12.75">
      <c r="A142" s="14">
        <v>39126</v>
      </c>
      <c r="B142" s="30" t="s">
        <v>69</v>
      </c>
      <c r="C142" s="29">
        <f>3015898.25*0.8</f>
        <v>2412718.6</v>
      </c>
      <c r="D142" s="46"/>
      <c r="E142" s="17"/>
      <c r="F142" s="31"/>
      <c r="G142" s="31"/>
      <c r="H142" s="32"/>
      <c r="J142" s="4">
        <f t="shared" si="6"/>
        <v>-33412004.180000003</v>
      </c>
      <c r="K142" s="6">
        <f t="shared" si="7"/>
        <v>0</v>
      </c>
      <c r="L142" s="9">
        <f t="shared" si="8"/>
        <v>0</v>
      </c>
    </row>
    <row r="143" spans="1:12" ht="12.75">
      <c r="A143" s="14">
        <v>39126</v>
      </c>
      <c r="B143" s="13" t="s">
        <v>32</v>
      </c>
      <c r="C143" s="17">
        <f>-C142</f>
        <v>-2412718.6</v>
      </c>
      <c r="D143" s="46"/>
      <c r="E143" s="17"/>
      <c r="F143" s="31"/>
      <c r="G143" s="31"/>
      <c r="H143" s="32">
        <f>-C143</f>
        <v>2412718.6</v>
      </c>
      <c r="J143" s="4">
        <f t="shared" si="6"/>
        <v>-30999285.580000002</v>
      </c>
      <c r="K143" s="6">
        <f t="shared" si="7"/>
        <v>1</v>
      </c>
      <c r="L143" s="9">
        <f t="shared" si="8"/>
        <v>-16985.909906849316</v>
      </c>
    </row>
    <row r="144" spans="1:12" ht="12.75">
      <c r="A144" s="14">
        <v>39127</v>
      </c>
      <c r="B144" s="47" t="s">
        <v>20</v>
      </c>
      <c r="D144" s="48">
        <v>-106000</v>
      </c>
      <c r="E144" s="17"/>
      <c r="F144" s="31"/>
      <c r="G144" s="48"/>
      <c r="H144" s="32"/>
      <c r="J144" s="4">
        <f t="shared" si="6"/>
        <v>-31105285.580000002</v>
      </c>
      <c r="K144" s="6">
        <f t="shared" si="7"/>
        <v>0</v>
      </c>
      <c r="L144" s="9">
        <f t="shared" si="8"/>
        <v>0</v>
      </c>
    </row>
    <row r="145" spans="1:12" ht="12.75">
      <c r="A145" s="14">
        <v>39127</v>
      </c>
      <c r="B145" s="30" t="s">
        <v>70</v>
      </c>
      <c r="C145" s="29">
        <f>1290156.5*0.8</f>
        <v>1032125.2000000001</v>
      </c>
      <c r="D145" s="46"/>
      <c r="E145" s="17"/>
      <c r="F145" s="31"/>
      <c r="G145" s="31"/>
      <c r="H145" s="32"/>
      <c r="J145" s="4">
        <f t="shared" si="6"/>
        <v>-31105285.580000002</v>
      </c>
      <c r="K145" s="6">
        <f t="shared" si="7"/>
        <v>0</v>
      </c>
      <c r="L145" s="9">
        <f t="shared" si="8"/>
        <v>0</v>
      </c>
    </row>
    <row r="146" spans="1:12" ht="12.75">
      <c r="A146" s="14">
        <v>39127</v>
      </c>
      <c r="B146" s="13" t="s">
        <v>32</v>
      </c>
      <c r="C146" s="17">
        <f>-C145</f>
        <v>-1032125.2000000001</v>
      </c>
      <c r="D146" s="46"/>
      <c r="E146" s="17"/>
      <c r="F146" s="31"/>
      <c r="G146" s="31"/>
      <c r="H146" s="32">
        <f>-C146</f>
        <v>1032125.2000000001</v>
      </c>
      <c r="J146" s="4">
        <f t="shared" si="6"/>
        <v>-30073160.380000003</v>
      </c>
      <c r="K146" s="6">
        <f t="shared" si="7"/>
        <v>1</v>
      </c>
      <c r="L146" s="9">
        <f t="shared" si="8"/>
        <v>-16478.44404383562</v>
      </c>
    </row>
    <row r="147" spans="1:12" ht="12.75">
      <c r="A147" s="14">
        <v>39128</v>
      </c>
      <c r="B147" s="47" t="s">
        <v>64</v>
      </c>
      <c r="D147" s="48">
        <v>-200000</v>
      </c>
      <c r="E147" s="17"/>
      <c r="F147" s="31"/>
      <c r="G147" s="48"/>
      <c r="H147" s="32"/>
      <c r="J147" s="4">
        <f t="shared" si="6"/>
        <v>-30273160.380000003</v>
      </c>
      <c r="K147" s="6">
        <f t="shared" si="7"/>
        <v>0</v>
      </c>
      <c r="L147" s="9">
        <f t="shared" si="8"/>
        <v>0</v>
      </c>
    </row>
    <row r="148" spans="1:12" ht="12.75">
      <c r="A148" s="14">
        <v>39128</v>
      </c>
      <c r="B148" s="47" t="s">
        <v>28</v>
      </c>
      <c r="D148" s="49">
        <v>-210000</v>
      </c>
      <c r="E148" s="17"/>
      <c r="F148" s="31"/>
      <c r="G148" s="48"/>
      <c r="H148" s="32"/>
      <c r="J148" s="4">
        <f t="shared" si="6"/>
        <v>-30483160.380000003</v>
      </c>
      <c r="K148" s="6">
        <f t="shared" si="7"/>
        <v>0</v>
      </c>
      <c r="L148" s="9">
        <f t="shared" si="8"/>
        <v>0</v>
      </c>
    </row>
    <row r="149" spans="1:12" ht="12.75">
      <c r="A149" s="14">
        <v>39128</v>
      </c>
      <c r="B149" s="47" t="s">
        <v>27</v>
      </c>
      <c r="D149" s="48">
        <v>-20310</v>
      </c>
      <c r="E149" s="17"/>
      <c r="F149" s="31"/>
      <c r="G149" s="48"/>
      <c r="H149" s="32"/>
      <c r="J149" s="4">
        <f t="shared" si="6"/>
        <v>-30503470.380000003</v>
      </c>
      <c r="K149" s="6">
        <f t="shared" si="7"/>
        <v>0</v>
      </c>
      <c r="L149" s="9">
        <f t="shared" si="8"/>
        <v>0</v>
      </c>
    </row>
    <row r="150" spans="1:12" ht="12.75">
      <c r="A150" s="14">
        <v>39128</v>
      </c>
      <c r="B150" s="47" t="s">
        <v>27</v>
      </c>
      <c r="D150" s="48">
        <v>-20310</v>
      </c>
      <c r="E150" s="17"/>
      <c r="F150" s="31"/>
      <c r="G150" s="48"/>
      <c r="H150" s="32"/>
      <c r="J150" s="4">
        <f t="shared" si="6"/>
        <v>-30523780.380000003</v>
      </c>
      <c r="K150" s="6">
        <f t="shared" si="7"/>
        <v>0</v>
      </c>
      <c r="L150" s="9">
        <f t="shared" si="8"/>
        <v>0</v>
      </c>
    </row>
    <row r="151" spans="1:12" ht="12.75">
      <c r="A151" s="14">
        <v>39128</v>
      </c>
      <c r="B151" s="47" t="s">
        <v>27</v>
      </c>
      <c r="D151" s="48">
        <v>-20310</v>
      </c>
      <c r="E151" s="17"/>
      <c r="F151" s="31"/>
      <c r="G151" s="48"/>
      <c r="H151" s="32"/>
      <c r="J151" s="4">
        <f t="shared" si="6"/>
        <v>-30544090.380000003</v>
      </c>
      <c r="K151" s="6">
        <f t="shared" si="7"/>
        <v>0</v>
      </c>
      <c r="L151" s="9">
        <f t="shared" si="8"/>
        <v>0</v>
      </c>
    </row>
    <row r="152" spans="1:12" ht="12.75">
      <c r="A152" s="14">
        <v>39128</v>
      </c>
      <c r="B152" s="47" t="s">
        <v>27</v>
      </c>
      <c r="D152" s="48">
        <v>-50610</v>
      </c>
      <c r="E152" s="17"/>
      <c r="F152" s="31"/>
      <c r="G152" s="48"/>
      <c r="H152" s="32"/>
      <c r="J152" s="4">
        <f t="shared" si="6"/>
        <v>-30594700.380000003</v>
      </c>
      <c r="K152" s="6">
        <f t="shared" si="7"/>
        <v>1</v>
      </c>
      <c r="L152" s="9">
        <f t="shared" si="8"/>
        <v>-16764.219386301374</v>
      </c>
    </row>
    <row r="153" spans="1:12" ht="12.75">
      <c r="A153" s="14">
        <v>39129</v>
      </c>
      <c r="B153" s="30" t="s">
        <v>71</v>
      </c>
      <c r="C153" s="29">
        <f>1002371.68*0.8</f>
        <v>801897.344</v>
      </c>
      <c r="D153" s="46"/>
      <c r="E153" s="17"/>
      <c r="F153" s="31"/>
      <c r="G153" s="31"/>
      <c r="H153" s="32"/>
      <c r="J153" s="4">
        <f t="shared" si="6"/>
        <v>-30594700.380000003</v>
      </c>
      <c r="K153" s="6">
        <f t="shared" si="7"/>
        <v>0</v>
      </c>
      <c r="L153" s="9">
        <f t="shared" si="8"/>
        <v>0</v>
      </c>
    </row>
    <row r="154" spans="1:12" ht="12.75">
      <c r="A154" s="14">
        <v>39129</v>
      </c>
      <c r="B154" s="13" t="s">
        <v>32</v>
      </c>
      <c r="C154" s="17">
        <f>-C153</f>
        <v>-801897.344</v>
      </c>
      <c r="D154" s="46"/>
      <c r="E154" s="17"/>
      <c r="F154" s="31"/>
      <c r="G154" s="31"/>
      <c r="H154" s="32">
        <f>-C154</f>
        <v>801897.344</v>
      </c>
      <c r="J154" s="4">
        <f t="shared" si="6"/>
        <v>-29792803.036000002</v>
      </c>
      <c r="K154" s="6">
        <f t="shared" si="7"/>
        <v>0</v>
      </c>
      <c r="L154" s="9">
        <f t="shared" si="8"/>
        <v>0</v>
      </c>
    </row>
    <row r="155" spans="1:12" ht="12.75">
      <c r="A155" s="14">
        <v>39129</v>
      </c>
      <c r="B155" s="30" t="s">
        <v>72</v>
      </c>
      <c r="C155" s="29">
        <f>538113.25*0.8</f>
        <v>430490.60000000003</v>
      </c>
      <c r="D155" s="46"/>
      <c r="E155" s="17"/>
      <c r="F155" s="31"/>
      <c r="G155" s="31"/>
      <c r="H155" s="32"/>
      <c r="J155" s="4">
        <f t="shared" si="6"/>
        <v>-29792803.036000002</v>
      </c>
      <c r="K155" s="6">
        <f t="shared" si="7"/>
        <v>0</v>
      </c>
      <c r="L155" s="9">
        <f t="shared" si="8"/>
        <v>0</v>
      </c>
    </row>
    <row r="156" spans="1:12" ht="12.75">
      <c r="A156" s="14">
        <v>39129</v>
      </c>
      <c r="B156" s="13" t="s">
        <v>32</v>
      </c>
      <c r="C156" s="17">
        <f>-C155</f>
        <v>-430490.60000000003</v>
      </c>
      <c r="D156" s="46"/>
      <c r="E156" s="17"/>
      <c r="F156" s="31"/>
      <c r="G156" s="31"/>
      <c r="H156" s="32">
        <f>-C156</f>
        <v>430490.60000000003</v>
      </c>
      <c r="J156" s="4">
        <f t="shared" si="6"/>
        <v>-29362312.436</v>
      </c>
      <c r="K156" s="6">
        <f t="shared" si="7"/>
        <v>0</v>
      </c>
      <c r="L156" s="9">
        <f t="shared" si="8"/>
        <v>0</v>
      </c>
    </row>
    <row r="157" spans="1:12" ht="12.75">
      <c r="A157" s="14">
        <v>39129</v>
      </c>
      <c r="B157" s="47" t="s">
        <v>20</v>
      </c>
      <c r="D157" s="48">
        <v>-31800</v>
      </c>
      <c r="E157" s="17"/>
      <c r="F157" s="31"/>
      <c r="G157" s="48"/>
      <c r="H157" s="32"/>
      <c r="J157" s="4">
        <f t="shared" si="6"/>
        <v>-29394112.436</v>
      </c>
      <c r="K157" s="6">
        <f t="shared" si="7"/>
        <v>0</v>
      </c>
      <c r="L157" s="9">
        <f t="shared" si="8"/>
        <v>0</v>
      </c>
    </row>
    <row r="158" spans="1:12" ht="12.75">
      <c r="A158" s="14">
        <v>39129</v>
      </c>
      <c r="B158" s="47" t="s">
        <v>65</v>
      </c>
      <c r="D158" s="48">
        <v>-135000</v>
      </c>
      <c r="E158" s="17"/>
      <c r="F158" s="31"/>
      <c r="G158" s="48"/>
      <c r="H158" s="32"/>
      <c r="J158" s="4">
        <f t="shared" si="6"/>
        <v>-29529112.436</v>
      </c>
      <c r="K158" s="6">
        <f t="shared" si="7"/>
        <v>0</v>
      </c>
      <c r="L158" s="9">
        <f t="shared" si="8"/>
        <v>0</v>
      </c>
    </row>
    <row r="159" spans="1:12" ht="12.75">
      <c r="A159" s="14">
        <v>39129</v>
      </c>
      <c r="B159" s="47" t="s">
        <v>35</v>
      </c>
      <c r="D159" s="48">
        <v>-200000</v>
      </c>
      <c r="E159" s="17"/>
      <c r="F159" s="31"/>
      <c r="G159" s="48"/>
      <c r="H159" s="32"/>
      <c r="J159" s="4">
        <f t="shared" si="6"/>
        <v>-29729112.436</v>
      </c>
      <c r="K159" s="6">
        <f t="shared" si="7"/>
        <v>0</v>
      </c>
      <c r="L159" s="9">
        <f t="shared" si="8"/>
        <v>0</v>
      </c>
    </row>
    <row r="160" spans="1:12" ht="12.75">
      <c r="A160" s="14">
        <v>39129</v>
      </c>
      <c r="B160" s="47" t="s">
        <v>66</v>
      </c>
      <c r="D160" s="48">
        <v>-435000</v>
      </c>
      <c r="E160" s="17"/>
      <c r="F160" s="31"/>
      <c r="G160" s="48"/>
      <c r="H160" s="32"/>
      <c r="J160" s="4">
        <f t="shared" si="6"/>
        <v>-30164112.436</v>
      </c>
      <c r="K160" s="6">
        <f t="shared" si="7"/>
        <v>0</v>
      </c>
      <c r="L160" s="9">
        <f t="shared" si="8"/>
        <v>0</v>
      </c>
    </row>
    <row r="161" spans="1:12" ht="12.75">
      <c r="A161" s="14">
        <v>39129</v>
      </c>
      <c r="B161" s="47" t="s">
        <v>45</v>
      </c>
      <c r="D161" s="49">
        <v>-450000</v>
      </c>
      <c r="E161" s="17"/>
      <c r="F161" s="31"/>
      <c r="G161" s="48"/>
      <c r="H161" s="32"/>
      <c r="J161" s="4">
        <f t="shared" si="6"/>
        <v>-30614112.436</v>
      </c>
      <c r="K161" s="6">
        <f t="shared" si="7"/>
        <v>1</v>
      </c>
      <c r="L161" s="9">
        <f t="shared" si="8"/>
        <v>-16774.85612931507</v>
      </c>
    </row>
    <row r="162" spans="1:12" ht="12.75">
      <c r="A162" s="14">
        <v>39130</v>
      </c>
      <c r="B162" s="63" t="s">
        <v>7</v>
      </c>
      <c r="D162" s="33"/>
      <c r="E162" s="17">
        <v>-19590</v>
      </c>
      <c r="F162" s="31"/>
      <c r="G162" s="31"/>
      <c r="H162" s="32"/>
      <c r="J162" s="4">
        <f t="shared" si="6"/>
        <v>-30633702.436</v>
      </c>
      <c r="K162" s="6">
        <f t="shared" si="7"/>
        <v>1</v>
      </c>
      <c r="L162" s="9">
        <f t="shared" si="8"/>
        <v>-16785.590375890413</v>
      </c>
    </row>
    <row r="163" spans="1:12" ht="12.75">
      <c r="A163" s="14">
        <v>39131</v>
      </c>
      <c r="B163" s="63" t="s">
        <v>28</v>
      </c>
      <c r="D163" s="48">
        <v>-105000</v>
      </c>
      <c r="E163" s="17"/>
      <c r="F163" s="31"/>
      <c r="G163" s="31"/>
      <c r="H163" s="32"/>
      <c r="J163" s="4">
        <f t="shared" si="6"/>
        <v>-30738702.436</v>
      </c>
      <c r="K163" s="6">
        <f t="shared" si="7"/>
        <v>1</v>
      </c>
      <c r="L163" s="9">
        <f t="shared" si="8"/>
        <v>-16843.124622465755</v>
      </c>
    </row>
    <row r="164" spans="1:12" ht="12.75">
      <c r="A164" s="14">
        <v>39132</v>
      </c>
      <c r="B164" s="63" t="s">
        <v>20</v>
      </c>
      <c r="D164" s="48">
        <v>-201400</v>
      </c>
      <c r="E164" s="17"/>
      <c r="F164" s="31"/>
      <c r="G164" s="31"/>
      <c r="H164" s="32"/>
      <c r="J164" s="4">
        <f t="shared" si="6"/>
        <v>-30940102.436</v>
      </c>
      <c r="K164" s="6">
        <f t="shared" si="7"/>
        <v>1</v>
      </c>
      <c r="L164" s="9">
        <f t="shared" si="8"/>
        <v>-16953.480786849315</v>
      </c>
    </row>
    <row r="165" spans="1:12" ht="12.75">
      <c r="A165" s="23">
        <v>39133</v>
      </c>
      <c r="B165" s="59" t="s">
        <v>102</v>
      </c>
      <c r="C165" s="60">
        <v>-7624.7</v>
      </c>
      <c r="D165" s="46"/>
      <c r="E165" s="17"/>
      <c r="F165" s="31"/>
      <c r="G165" s="31"/>
      <c r="H165" s="32"/>
      <c r="J165" s="4">
        <f t="shared" si="6"/>
        <v>-30940102.436</v>
      </c>
      <c r="K165" s="6">
        <f t="shared" si="7"/>
        <v>0</v>
      </c>
      <c r="L165" s="9">
        <f t="shared" si="8"/>
        <v>0</v>
      </c>
    </row>
    <row r="166" spans="1:12" ht="12.75">
      <c r="A166" s="23">
        <v>39133</v>
      </c>
      <c r="B166" s="13" t="s">
        <v>32</v>
      </c>
      <c r="C166" s="17">
        <f>-C165</f>
        <v>7624.7</v>
      </c>
      <c r="D166" s="46"/>
      <c r="E166" s="17"/>
      <c r="F166" s="31"/>
      <c r="G166" s="31"/>
      <c r="H166" s="61">
        <f>-C166</f>
        <v>-7624.7</v>
      </c>
      <c r="J166" s="4">
        <f t="shared" si="6"/>
        <v>-30947727.136</v>
      </c>
      <c r="K166" s="6">
        <f t="shared" si="7"/>
        <v>0</v>
      </c>
      <c r="L166" s="9">
        <f t="shared" si="8"/>
        <v>0</v>
      </c>
    </row>
    <row r="167" spans="1:12" ht="12.75">
      <c r="A167" s="23">
        <v>39133</v>
      </c>
      <c r="B167" s="63" t="s">
        <v>7</v>
      </c>
      <c r="D167" s="33"/>
      <c r="E167" s="17">
        <v>-62370</v>
      </c>
      <c r="F167" s="31"/>
      <c r="G167" s="31"/>
      <c r="H167" s="32"/>
      <c r="J167" s="4">
        <f t="shared" si="6"/>
        <v>-31010097.136</v>
      </c>
      <c r="K167" s="6">
        <f t="shared" si="7"/>
        <v>0</v>
      </c>
      <c r="L167" s="9">
        <f t="shared" si="8"/>
        <v>0</v>
      </c>
    </row>
    <row r="168" spans="1:12" ht="12.75">
      <c r="A168" s="14">
        <v>39133</v>
      </c>
      <c r="B168" s="47" t="s">
        <v>7</v>
      </c>
      <c r="D168" s="33"/>
      <c r="E168" s="17">
        <v>-81900</v>
      </c>
      <c r="F168" s="31"/>
      <c r="G168" s="31"/>
      <c r="H168" s="32"/>
      <c r="J168" s="4">
        <f t="shared" si="6"/>
        <v>-31091997.136</v>
      </c>
      <c r="K168" s="6">
        <f t="shared" si="7"/>
        <v>1</v>
      </c>
      <c r="L168" s="9">
        <f t="shared" si="8"/>
        <v>-17036.710759452057</v>
      </c>
    </row>
    <row r="169" spans="1:12" ht="12.75">
      <c r="A169" s="14">
        <v>39134</v>
      </c>
      <c r="B169" s="47" t="s">
        <v>7</v>
      </c>
      <c r="D169" s="33"/>
      <c r="E169" s="17">
        <v>-57960</v>
      </c>
      <c r="F169" s="31"/>
      <c r="G169" s="31"/>
      <c r="H169" s="32"/>
      <c r="J169" s="4">
        <f t="shared" si="6"/>
        <v>-31149957.136</v>
      </c>
      <c r="K169" s="6">
        <f t="shared" si="7"/>
        <v>0</v>
      </c>
      <c r="L169" s="9">
        <f t="shared" si="8"/>
        <v>0</v>
      </c>
    </row>
    <row r="170" spans="1:12" ht="12.75">
      <c r="A170" s="14">
        <v>39134</v>
      </c>
      <c r="B170" s="47" t="s">
        <v>20</v>
      </c>
      <c r="D170" s="48">
        <v>-48760</v>
      </c>
      <c r="E170" s="17"/>
      <c r="F170" s="31"/>
      <c r="G170" s="31"/>
      <c r="H170" s="32"/>
      <c r="J170" s="4">
        <f t="shared" si="6"/>
        <v>-31198717.136</v>
      </c>
      <c r="K170" s="6">
        <f t="shared" si="7"/>
        <v>0</v>
      </c>
      <c r="L170" s="9">
        <f t="shared" si="8"/>
        <v>0</v>
      </c>
    </row>
    <row r="171" spans="1:12" ht="12.75">
      <c r="A171" s="14">
        <v>39134</v>
      </c>
      <c r="B171" s="47" t="s">
        <v>21</v>
      </c>
      <c r="D171" s="48">
        <v>-52500</v>
      </c>
      <c r="E171" s="17"/>
      <c r="F171" s="31"/>
      <c r="G171" s="31"/>
      <c r="H171" s="32"/>
      <c r="J171" s="4">
        <f t="shared" si="6"/>
        <v>-31251217.136</v>
      </c>
      <c r="K171" s="6">
        <f t="shared" si="7"/>
        <v>0</v>
      </c>
      <c r="L171" s="9">
        <f t="shared" si="8"/>
        <v>0</v>
      </c>
    </row>
    <row r="172" spans="1:12" ht="12.75">
      <c r="A172" s="14">
        <v>39134</v>
      </c>
      <c r="B172" s="47" t="s">
        <v>26</v>
      </c>
      <c r="D172" s="48">
        <v>-14000</v>
      </c>
      <c r="E172" s="17"/>
      <c r="F172" s="31"/>
      <c r="G172" s="31"/>
      <c r="H172" s="32"/>
      <c r="J172" s="4">
        <f t="shared" si="6"/>
        <v>-31265217.136</v>
      </c>
      <c r="K172" s="6">
        <f t="shared" si="7"/>
        <v>0</v>
      </c>
      <c r="L172" s="9">
        <f t="shared" si="8"/>
        <v>0</v>
      </c>
    </row>
    <row r="173" spans="1:12" ht="12.75">
      <c r="A173" s="14">
        <v>39134</v>
      </c>
      <c r="B173" s="47" t="s">
        <v>28</v>
      </c>
      <c r="D173" s="48">
        <v>-105000</v>
      </c>
      <c r="E173" s="17"/>
      <c r="F173" s="31"/>
      <c r="G173" s="31"/>
      <c r="H173" s="32"/>
      <c r="J173" s="4">
        <f t="shared" si="6"/>
        <v>-31370217.136</v>
      </c>
      <c r="K173" s="6">
        <f t="shared" si="7"/>
        <v>1</v>
      </c>
      <c r="L173" s="9">
        <f t="shared" si="8"/>
        <v>-17189.16007452055</v>
      </c>
    </row>
    <row r="174" spans="1:12" ht="12.75">
      <c r="A174" s="14">
        <v>39135</v>
      </c>
      <c r="B174" s="47" t="s">
        <v>21</v>
      </c>
      <c r="D174" s="48">
        <v>-52500</v>
      </c>
      <c r="E174" s="17"/>
      <c r="F174" s="31"/>
      <c r="G174" s="31"/>
      <c r="H174" s="32"/>
      <c r="J174" s="4">
        <f t="shared" si="6"/>
        <v>-31422717.136</v>
      </c>
      <c r="K174" s="6">
        <f t="shared" si="7"/>
        <v>0</v>
      </c>
      <c r="L174" s="9">
        <f t="shared" si="8"/>
        <v>0</v>
      </c>
    </row>
    <row r="175" spans="1:12" ht="12.75">
      <c r="A175" s="14">
        <v>39135</v>
      </c>
      <c r="B175" s="47" t="s">
        <v>20</v>
      </c>
      <c r="D175" s="49">
        <v>-186070.44</v>
      </c>
      <c r="E175" s="17"/>
      <c r="F175" s="31"/>
      <c r="G175" s="31"/>
      <c r="H175" s="32"/>
      <c r="J175" s="4">
        <f t="shared" si="6"/>
        <v>-31608787.576</v>
      </c>
      <c r="K175" s="6">
        <f t="shared" si="7"/>
        <v>0</v>
      </c>
      <c r="L175" s="9">
        <f t="shared" si="8"/>
        <v>0</v>
      </c>
    </row>
    <row r="176" spans="1:12" ht="12.75">
      <c r="A176" s="14">
        <v>39135</v>
      </c>
      <c r="B176" s="47" t="s">
        <v>7</v>
      </c>
      <c r="D176" s="33"/>
      <c r="E176" s="17">
        <v>-92484</v>
      </c>
      <c r="F176" s="31"/>
      <c r="G176" s="31"/>
      <c r="H176" s="32"/>
      <c r="J176" s="4">
        <f t="shared" si="6"/>
        <v>-31701271.576</v>
      </c>
      <c r="K176" s="6">
        <f t="shared" si="7"/>
        <v>0</v>
      </c>
      <c r="L176" s="9">
        <f t="shared" si="8"/>
        <v>0</v>
      </c>
    </row>
    <row r="177" spans="1:12" ht="12.75">
      <c r="A177" s="14">
        <v>39135</v>
      </c>
      <c r="B177" s="47" t="s">
        <v>7</v>
      </c>
      <c r="D177" s="33"/>
      <c r="E177" s="17">
        <v>-64890</v>
      </c>
      <c r="F177" s="31"/>
      <c r="G177" s="31"/>
      <c r="H177" s="32"/>
      <c r="J177" s="4">
        <f t="shared" si="6"/>
        <v>-31766161.576</v>
      </c>
      <c r="K177" s="6">
        <f t="shared" si="7"/>
        <v>0</v>
      </c>
      <c r="L177" s="9">
        <f t="shared" si="8"/>
        <v>0</v>
      </c>
    </row>
    <row r="178" spans="1:12" ht="12.75">
      <c r="A178" s="14">
        <v>39135</v>
      </c>
      <c r="B178" s="47" t="s">
        <v>7</v>
      </c>
      <c r="D178" s="33"/>
      <c r="E178" s="17">
        <v>-70560</v>
      </c>
      <c r="F178" s="31"/>
      <c r="G178" s="31"/>
      <c r="H178" s="32"/>
      <c r="J178" s="4">
        <f t="shared" si="6"/>
        <v>-31836721.576</v>
      </c>
      <c r="K178" s="6">
        <f t="shared" si="7"/>
        <v>1</v>
      </c>
      <c r="L178" s="9">
        <f t="shared" si="8"/>
        <v>-17444.778945753427</v>
      </c>
    </row>
    <row r="179" spans="1:12" ht="12.75">
      <c r="A179" s="14">
        <v>39136</v>
      </c>
      <c r="B179" s="47" t="s">
        <v>7</v>
      </c>
      <c r="D179" s="33"/>
      <c r="E179" s="17">
        <v>-69300</v>
      </c>
      <c r="F179" s="31"/>
      <c r="G179" s="31"/>
      <c r="H179" s="32"/>
      <c r="J179" s="4">
        <f t="shared" si="6"/>
        <v>-31906021.576</v>
      </c>
      <c r="K179" s="6">
        <f t="shared" si="7"/>
        <v>0</v>
      </c>
      <c r="L179" s="9">
        <f t="shared" si="8"/>
        <v>0</v>
      </c>
    </row>
    <row r="180" spans="1:12" ht="12.75">
      <c r="A180" s="14">
        <v>39136</v>
      </c>
      <c r="B180" s="47" t="s">
        <v>7</v>
      </c>
      <c r="D180" s="33"/>
      <c r="E180" s="17">
        <v>-40320</v>
      </c>
      <c r="F180" s="31"/>
      <c r="G180" s="31"/>
      <c r="H180" s="32"/>
      <c r="J180" s="4">
        <f t="shared" si="6"/>
        <v>-31946341.576</v>
      </c>
      <c r="K180" s="6">
        <f t="shared" si="7"/>
        <v>0</v>
      </c>
      <c r="L180" s="9">
        <f t="shared" si="8"/>
        <v>0</v>
      </c>
    </row>
    <row r="181" spans="1:12" ht="12.75">
      <c r="A181" s="14">
        <v>39136</v>
      </c>
      <c r="B181" s="47" t="s">
        <v>7</v>
      </c>
      <c r="D181" s="33"/>
      <c r="E181" s="17">
        <v>-77175</v>
      </c>
      <c r="F181" s="31"/>
      <c r="G181" s="31"/>
      <c r="H181" s="32"/>
      <c r="J181" s="4">
        <f t="shared" si="6"/>
        <v>-32023516.576</v>
      </c>
      <c r="K181" s="6">
        <f t="shared" si="7"/>
        <v>0</v>
      </c>
      <c r="L181" s="9">
        <f t="shared" si="8"/>
        <v>0</v>
      </c>
    </row>
    <row r="182" spans="1:12" ht="12.75">
      <c r="A182" s="14">
        <v>39136</v>
      </c>
      <c r="B182" s="47" t="s">
        <v>7</v>
      </c>
      <c r="D182" s="33"/>
      <c r="E182" s="17">
        <v>-81081</v>
      </c>
      <c r="F182" s="31"/>
      <c r="G182" s="31"/>
      <c r="H182" s="32"/>
      <c r="J182" s="4">
        <f t="shared" si="6"/>
        <v>-32104597.576</v>
      </c>
      <c r="K182" s="6">
        <f t="shared" si="7"/>
        <v>0</v>
      </c>
      <c r="L182" s="9">
        <f t="shared" si="8"/>
        <v>0</v>
      </c>
    </row>
    <row r="183" spans="1:12" ht="12.75">
      <c r="A183" s="14">
        <v>39136</v>
      </c>
      <c r="B183" s="47" t="s">
        <v>7</v>
      </c>
      <c r="D183" s="33"/>
      <c r="E183" s="17">
        <v>-69300</v>
      </c>
      <c r="F183" s="31"/>
      <c r="G183" s="31"/>
      <c r="H183" s="32"/>
      <c r="J183" s="4">
        <f t="shared" si="6"/>
        <v>-32173897.576</v>
      </c>
      <c r="K183" s="6">
        <f t="shared" si="7"/>
        <v>0</v>
      </c>
      <c r="L183" s="9">
        <f t="shared" si="8"/>
        <v>0</v>
      </c>
    </row>
    <row r="184" spans="1:12" ht="12.75">
      <c r="A184" s="14">
        <v>39136</v>
      </c>
      <c r="B184" s="47" t="s">
        <v>7</v>
      </c>
      <c r="D184" s="33"/>
      <c r="E184" s="17">
        <v>-81900</v>
      </c>
      <c r="F184" s="31"/>
      <c r="G184" s="31"/>
      <c r="H184" s="32"/>
      <c r="J184" s="4">
        <f t="shared" si="6"/>
        <v>-32255797.576</v>
      </c>
      <c r="K184" s="6">
        <f t="shared" si="7"/>
        <v>0</v>
      </c>
      <c r="L184" s="9">
        <f t="shared" si="8"/>
        <v>0</v>
      </c>
    </row>
    <row r="185" spans="1:12" ht="12.75">
      <c r="A185" s="14">
        <v>39136</v>
      </c>
      <c r="B185" s="47" t="s">
        <v>7</v>
      </c>
      <c r="D185" s="33"/>
      <c r="E185" s="17">
        <v>-31500</v>
      </c>
      <c r="F185" s="31"/>
      <c r="G185" s="31"/>
      <c r="H185" s="32"/>
      <c r="J185" s="4">
        <f t="shared" si="6"/>
        <v>-32287297.576</v>
      </c>
      <c r="K185" s="6">
        <f t="shared" si="7"/>
        <v>0</v>
      </c>
      <c r="L185" s="9">
        <f t="shared" si="8"/>
        <v>0</v>
      </c>
    </row>
    <row r="186" spans="1:12" ht="12.75">
      <c r="A186" s="14">
        <v>39136</v>
      </c>
      <c r="B186" s="47" t="s">
        <v>7</v>
      </c>
      <c r="D186" s="33"/>
      <c r="E186" s="17">
        <v>-63000</v>
      </c>
      <c r="F186" s="31"/>
      <c r="G186" s="31"/>
      <c r="H186" s="32"/>
      <c r="J186" s="4">
        <f t="shared" si="6"/>
        <v>-32350297.576</v>
      </c>
      <c r="K186" s="6">
        <f t="shared" si="7"/>
        <v>0</v>
      </c>
      <c r="L186" s="9">
        <f t="shared" si="8"/>
        <v>0</v>
      </c>
    </row>
    <row r="187" spans="1:12" ht="12.75">
      <c r="A187" s="14">
        <v>39136</v>
      </c>
      <c r="B187" s="47" t="s">
        <v>7</v>
      </c>
      <c r="D187" s="33"/>
      <c r="E187" s="17">
        <v>-63000</v>
      </c>
      <c r="F187" s="31"/>
      <c r="G187" s="31"/>
      <c r="H187" s="32"/>
      <c r="J187" s="4">
        <f t="shared" si="6"/>
        <v>-32413297.576</v>
      </c>
      <c r="K187" s="6">
        <f t="shared" si="7"/>
        <v>0</v>
      </c>
      <c r="L187" s="9">
        <f t="shared" si="8"/>
        <v>0</v>
      </c>
    </row>
    <row r="188" spans="1:12" ht="12.75">
      <c r="A188" s="14">
        <v>39136</v>
      </c>
      <c r="B188" s="47" t="s">
        <v>7</v>
      </c>
      <c r="D188" s="33"/>
      <c r="E188" s="17">
        <v>-94500</v>
      </c>
      <c r="F188" s="31"/>
      <c r="G188" s="31"/>
      <c r="H188" s="32"/>
      <c r="J188" s="4">
        <f t="shared" si="6"/>
        <v>-32507797.576</v>
      </c>
      <c r="K188" s="6">
        <f t="shared" si="7"/>
        <v>3</v>
      </c>
      <c r="L188" s="9">
        <f t="shared" si="8"/>
        <v>-53437.475467397264</v>
      </c>
    </row>
    <row r="189" spans="1:12" ht="12.75">
      <c r="A189" s="14">
        <v>39139</v>
      </c>
      <c r="B189" s="47" t="s">
        <v>37</v>
      </c>
      <c r="D189" s="33"/>
      <c r="E189" s="17"/>
      <c r="F189" s="31"/>
      <c r="G189" s="17">
        <v>-11832</v>
      </c>
      <c r="H189" s="32"/>
      <c r="J189" s="4">
        <f t="shared" si="6"/>
        <v>-32519629.576</v>
      </c>
      <c r="K189" s="6">
        <f t="shared" si="7"/>
        <v>0</v>
      </c>
      <c r="L189" s="9">
        <f t="shared" si="8"/>
        <v>0</v>
      </c>
    </row>
    <row r="190" spans="1:12" ht="12.75">
      <c r="A190" s="14">
        <v>39139</v>
      </c>
      <c r="B190" s="47" t="s">
        <v>37</v>
      </c>
      <c r="D190" s="33"/>
      <c r="E190" s="17"/>
      <c r="F190" s="31"/>
      <c r="G190" s="17">
        <v>-15124.64</v>
      </c>
      <c r="H190" s="32"/>
      <c r="J190" s="4">
        <f t="shared" si="6"/>
        <v>-32534754.216000002</v>
      </c>
      <c r="K190" s="6">
        <f t="shared" si="7"/>
        <v>0</v>
      </c>
      <c r="L190" s="9">
        <f t="shared" si="8"/>
        <v>0</v>
      </c>
    </row>
    <row r="191" spans="1:12" ht="12.75">
      <c r="A191" s="14">
        <v>39139</v>
      </c>
      <c r="B191" s="47" t="s">
        <v>37</v>
      </c>
      <c r="D191" s="33"/>
      <c r="E191" s="17"/>
      <c r="F191" s="31"/>
      <c r="G191" s="17">
        <v>-7981.5</v>
      </c>
      <c r="H191" s="32"/>
      <c r="J191" s="4">
        <f t="shared" si="6"/>
        <v>-32542735.716000002</v>
      </c>
      <c r="K191" s="6">
        <f t="shared" si="7"/>
        <v>0</v>
      </c>
      <c r="L191" s="9">
        <f t="shared" si="8"/>
        <v>0</v>
      </c>
    </row>
    <row r="192" spans="1:12" ht="12.75">
      <c r="A192" s="14">
        <v>39139</v>
      </c>
      <c r="B192" s="47" t="s">
        <v>20</v>
      </c>
      <c r="D192" s="48">
        <v>-286200</v>
      </c>
      <c r="E192" s="17"/>
      <c r="F192" s="31"/>
      <c r="G192" s="17"/>
      <c r="H192" s="32"/>
      <c r="J192" s="4">
        <f t="shared" si="6"/>
        <v>-32828935.716000002</v>
      </c>
      <c r="K192" s="6">
        <f t="shared" si="7"/>
        <v>0</v>
      </c>
      <c r="L192" s="9">
        <f t="shared" si="8"/>
        <v>0</v>
      </c>
    </row>
    <row r="193" spans="1:12" ht="12.75">
      <c r="A193" s="14">
        <v>39139</v>
      </c>
      <c r="B193" s="47" t="s">
        <v>28</v>
      </c>
      <c r="D193" s="48">
        <v>-210000</v>
      </c>
      <c r="E193" s="17"/>
      <c r="F193" s="31"/>
      <c r="G193" s="17"/>
      <c r="H193" s="32"/>
      <c r="J193" s="4">
        <f t="shared" si="6"/>
        <v>-33038935.716000002</v>
      </c>
      <c r="K193" s="6">
        <f t="shared" si="7"/>
        <v>1</v>
      </c>
      <c r="L193" s="9">
        <f t="shared" si="8"/>
        <v>-18103.52641972603</v>
      </c>
    </row>
    <row r="194" spans="1:12" ht="12.75">
      <c r="A194" s="14">
        <v>39140</v>
      </c>
      <c r="B194" s="47" t="s">
        <v>20</v>
      </c>
      <c r="D194" s="48">
        <v>-169600</v>
      </c>
      <c r="E194" s="17"/>
      <c r="F194" s="31"/>
      <c r="G194" s="17"/>
      <c r="H194" s="32"/>
      <c r="J194" s="4">
        <f t="shared" si="6"/>
        <v>-33208535.716000002</v>
      </c>
      <c r="K194" s="6">
        <f t="shared" si="7"/>
        <v>0</v>
      </c>
      <c r="L194" s="9">
        <f t="shared" si="8"/>
        <v>0</v>
      </c>
    </row>
    <row r="195" spans="1:12" ht="12.75">
      <c r="A195" s="14">
        <v>39140</v>
      </c>
      <c r="B195" s="47" t="s">
        <v>21</v>
      </c>
      <c r="D195" s="48">
        <v>-37800</v>
      </c>
      <c r="E195" s="17"/>
      <c r="F195" s="31"/>
      <c r="G195" s="17"/>
      <c r="H195" s="32"/>
      <c r="J195" s="4">
        <f t="shared" si="6"/>
        <v>-33246335.716000002</v>
      </c>
      <c r="K195" s="6">
        <f t="shared" si="7"/>
        <v>0</v>
      </c>
      <c r="L195" s="9">
        <f t="shared" si="8"/>
        <v>0</v>
      </c>
    </row>
    <row r="196" spans="1:12" ht="12.75">
      <c r="A196" s="14">
        <v>39140</v>
      </c>
      <c r="B196" s="47" t="s">
        <v>88</v>
      </c>
      <c r="D196" s="48">
        <v>-1245000</v>
      </c>
      <c r="E196" s="17"/>
      <c r="F196" s="31"/>
      <c r="G196" s="17"/>
      <c r="H196" s="32"/>
      <c r="J196" s="4">
        <f t="shared" si="6"/>
        <v>-34491335.716000006</v>
      </c>
      <c r="K196" s="6">
        <f t="shared" si="7"/>
        <v>0</v>
      </c>
      <c r="L196" s="9">
        <f t="shared" si="8"/>
        <v>0</v>
      </c>
    </row>
    <row r="197" spans="1:12" ht="12.75">
      <c r="A197" s="14">
        <v>39140</v>
      </c>
      <c r="B197" s="47" t="s">
        <v>36</v>
      </c>
      <c r="D197" s="48">
        <v>-2921.58</v>
      </c>
      <c r="E197" s="17"/>
      <c r="F197" s="31"/>
      <c r="G197" s="17"/>
      <c r="H197" s="32"/>
      <c r="J197" s="4">
        <f aca="true" t="shared" si="9" ref="J197:J260">J196+D197+E197+F197+G197+H197+I197</f>
        <v>-34494257.296000004</v>
      </c>
      <c r="K197" s="6">
        <f aca="true" t="shared" si="10" ref="K197:K260">DATEDIF(A197,A198,"d")</f>
        <v>0</v>
      </c>
      <c r="L197" s="9">
        <f aca="true" t="shared" si="11" ref="L197:L260">J197*K197*0.2/365</f>
        <v>0</v>
      </c>
    </row>
    <row r="198" spans="1:12" ht="12.75">
      <c r="A198" s="14">
        <v>39140</v>
      </c>
      <c r="B198" s="47" t="s">
        <v>36</v>
      </c>
      <c r="D198" s="48">
        <v>-119</v>
      </c>
      <c r="E198" s="17"/>
      <c r="F198" s="31"/>
      <c r="G198" s="17"/>
      <c r="H198" s="32"/>
      <c r="J198" s="4">
        <f t="shared" si="9"/>
        <v>-34494376.296000004</v>
      </c>
      <c r="K198" s="6">
        <f t="shared" si="10"/>
        <v>1</v>
      </c>
      <c r="L198" s="9">
        <f t="shared" si="11"/>
        <v>-18901.028107397262</v>
      </c>
    </row>
    <row r="199" spans="1:12" ht="12.75">
      <c r="A199" s="14">
        <v>39141</v>
      </c>
      <c r="B199" s="47" t="s">
        <v>20</v>
      </c>
      <c r="D199" s="48">
        <v>-74200</v>
      </c>
      <c r="E199" s="17"/>
      <c r="F199" s="31"/>
      <c r="G199" s="17"/>
      <c r="H199" s="32"/>
      <c r="J199" s="4">
        <f t="shared" si="9"/>
        <v>-34568576.296000004</v>
      </c>
      <c r="K199" s="6">
        <f t="shared" si="10"/>
        <v>0</v>
      </c>
      <c r="L199" s="9">
        <f t="shared" si="11"/>
        <v>0</v>
      </c>
    </row>
    <row r="200" spans="1:12" ht="12.75">
      <c r="A200" s="14">
        <v>39141</v>
      </c>
      <c r="B200" s="47" t="s">
        <v>89</v>
      </c>
      <c r="D200" s="49">
        <v>-140458.56</v>
      </c>
      <c r="E200" s="17"/>
      <c r="F200" s="31"/>
      <c r="G200" s="17"/>
      <c r="H200" s="32"/>
      <c r="J200" s="4">
        <f t="shared" si="9"/>
        <v>-34709034.856000006</v>
      </c>
      <c r="K200" s="6">
        <f t="shared" si="10"/>
        <v>0</v>
      </c>
      <c r="L200" s="9">
        <f t="shared" si="11"/>
        <v>0</v>
      </c>
    </row>
    <row r="201" spans="1:12" ht="12.75">
      <c r="A201" s="23">
        <v>39141</v>
      </c>
      <c r="B201" s="63" t="s">
        <v>90</v>
      </c>
      <c r="D201" s="15"/>
      <c r="E201" s="17"/>
      <c r="F201" s="31"/>
      <c r="G201" s="17">
        <v>-16742.75</v>
      </c>
      <c r="H201" s="32"/>
      <c r="J201" s="4">
        <f t="shared" si="9"/>
        <v>-34725777.606000006</v>
      </c>
      <c r="K201" s="6">
        <f t="shared" si="10"/>
        <v>0</v>
      </c>
      <c r="L201" s="9">
        <f t="shared" si="11"/>
        <v>0</v>
      </c>
    </row>
    <row r="202" spans="1:12" ht="12.75">
      <c r="A202" s="23">
        <v>39141</v>
      </c>
      <c r="B202" s="63" t="s">
        <v>90</v>
      </c>
      <c r="D202" s="15"/>
      <c r="E202" s="17"/>
      <c r="F202" s="31"/>
      <c r="G202" s="17">
        <v>-23317.24</v>
      </c>
      <c r="H202" s="32"/>
      <c r="J202" s="4">
        <f t="shared" si="9"/>
        <v>-34749094.84600001</v>
      </c>
      <c r="K202" s="6">
        <f t="shared" si="10"/>
        <v>0</v>
      </c>
      <c r="L202" s="9">
        <f t="shared" si="11"/>
        <v>0</v>
      </c>
    </row>
    <row r="203" spans="1:12" ht="12.75">
      <c r="A203" s="14">
        <v>39141</v>
      </c>
      <c r="B203" s="47" t="s">
        <v>90</v>
      </c>
      <c r="D203" s="49"/>
      <c r="E203" s="17"/>
      <c r="F203" s="31"/>
      <c r="G203" s="17">
        <v>-40167.46</v>
      </c>
      <c r="H203" s="32"/>
      <c r="J203" s="4">
        <f t="shared" si="9"/>
        <v>-34789262.30600001</v>
      </c>
      <c r="K203" s="6">
        <f t="shared" si="10"/>
        <v>0</v>
      </c>
      <c r="L203" s="9">
        <f t="shared" si="11"/>
        <v>0</v>
      </c>
    </row>
    <row r="204" spans="1:12" ht="12.75">
      <c r="A204" s="23">
        <v>39141</v>
      </c>
      <c r="B204" s="63" t="s">
        <v>90</v>
      </c>
      <c r="D204" s="15"/>
      <c r="E204" s="17"/>
      <c r="F204" s="31"/>
      <c r="G204" s="17">
        <v>-13475.72</v>
      </c>
      <c r="H204" s="32"/>
      <c r="J204" s="4">
        <f t="shared" si="9"/>
        <v>-34802738.02600001</v>
      </c>
      <c r="K204" s="6">
        <f t="shared" si="10"/>
        <v>0</v>
      </c>
      <c r="L204" s="9">
        <f t="shared" si="11"/>
        <v>0</v>
      </c>
    </row>
    <row r="205" spans="1:12" ht="12.75">
      <c r="A205" s="23">
        <v>39141</v>
      </c>
      <c r="B205" s="63" t="s">
        <v>90</v>
      </c>
      <c r="D205" s="15"/>
      <c r="E205" s="17"/>
      <c r="F205" s="31"/>
      <c r="G205" s="17">
        <v>-17006.12</v>
      </c>
      <c r="H205" s="32"/>
      <c r="J205" s="4">
        <f t="shared" si="9"/>
        <v>-34819744.146000005</v>
      </c>
      <c r="K205" s="6">
        <f t="shared" si="10"/>
        <v>0</v>
      </c>
      <c r="L205" s="9">
        <f t="shared" si="11"/>
        <v>0</v>
      </c>
    </row>
    <row r="206" spans="1:12" ht="12.75">
      <c r="A206" s="14">
        <v>39141</v>
      </c>
      <c r="B206" s="47" t="s">
        <v>90</v>
      </c>
      <c r="D206" s="49"/>
      <c r="E206" s="17"/>
      <c r="F206" s="31"/>
      <c r="G206" s="17">
        <v>-13756.01</v>
      </c>
      <c r="H206" s="32"/>
      <c r="J206" s="4">
        <f t="shared" si="9"/>
        <v>-34833500.156</v>
      </c>
      <c r="K206" s="6">
        <f t="shared" si="10"/>
        <v>0</v>
      </c>
      <c r="L206" s="9">
        <f t="shared" si="11"/>
        <v>0</v>
      </c>
    </row>
    <row r="207" spans="1:12" ht="12.75">
      <c r="A207" s="14">
        <v>39141</v>
      </c>
      <c r="B207" s="47" t="s">
        <v>90</v>
      </c>
      <c r="D207" s="49"/>
      <c r="E207" s="17"/>
      <c r="F207" s="31"/>
      <c r="G207" s="17">
        <v>-28390.36</v>
      </c>
      <c r="H207" s="32"/>
      <c r="J207" s="4">
        <f t="shared" si="9"/>
        <v>-34861890.516</v>
      </c>
      <c r="K207" s="6">
        <f t="shared" si="10"/>
        <v>0</v>
      </c>
      <c r="L207" s="9">
        <f t="shared" si="11"/>
        <v>0</v>
      </c>
    </row>
    <row r="208" spans="1:12" ht="12.75">
      <c r="A208" s="14">
        <v>39141</v>
      </c>
      <c r="B208" s="47" t="s">
        <v>90</v>
      </c>
      <c r="D208" s="49"/>
      <c r="E208" s="17"/>
      <c r="F208" s="31"/>
      <c r="G208" s="17">
        <v>-6655.01</v>
      </c>
      <c r="H208" s="32"/>
      <c r="J208" s="4">
        <f t="shared" si="9"/>
        <v>-34868545.526</v>
      </c>
      <c r="K208" s="6">
        <f t="shared" si="10"/>
        <v>0</v>
      </c>
      <c r="L208" s="9">
        <f t="shared" si="11"/>
        <v>0</v>
      </c>
    </row>
    <row r="209" spans="1:12" ht="12.75">
      <c r="A209" s="14">
        <v>39141</v>
      </c>
      <c r="B209" s="47" t="s">
        <v>90</v>
      </c>
      <c r="D209" s="49"/>
      <c r="E209" s="17"/>
      <c r="F209" s="31"/>
      <c r="G209" s="17">
        <v>-15117.38</v>
      </c>
      <c r="H209" s="32"/>
      <c r="J209" s="4">
        <f t="shared" si="9"/>
        <v>-34883662.906</v>
      </c>
      <c r="K209" s="6">
        <f t="shared" si="10"/>
        <v>0</v>
      </c>
      <c r="L209" s="9">
        <f t="shared" si="11"/>
        <v>0</v>
      </c>
    </row>
    <row r="210" spans="1:12" ht="12.75">
      <c r="A210" s="14">
        <v>39141</v>
      </c>
      <c r="B210" s="47" t="s">
        <v>90</v>
      </c>
      <c r="D210" s="49"/>
      <c r="E210" s="17"/>
      <c r="F210" s="31"/>
      <c r="G210" s="17">
        <v>-29685.42</v>
      </c>
      <c r="H210" s="32"/>
      <c r="J210" s="4">
        <f t="shared" si="9"/>
        <v>-34913348.326000005</v>
      </c>
      <c r="K210" s="6">
        <f t="shared" si="10"/>
        <v>0</v>
      </c>
      <c r="L210" s="9">
        <f t="shared" si="11"/>
        <v>0</v>
      </c>
    </row>
    <row r="211" spans="1:12" ht="12.75">
      <c r="A211" s="14">
        <v>39141</v>
      </c>
      <c r="B211" s="47" t="s">
        <v>90</v>
      </c>
      <c r="D211" s="49"/>
      <c r="E211" s="17"/>
      <c r="F211" s="31"/>
      <c r="G211" s="17">
        <v>-29639.11</v>
      </c>
      <c r="H211" s="32"/>
      <c r="J211" s="4">
        <f t="shared" si="9"/>
        <v>-34942987.436000004</v>
      </c>
      <c r="K211" s="6">
        <f t="shared" si="10"/>
        <v>0</v>
      </c>
      <c r="L211" s="9">
        <f t="shared" si="11"/>
        <v>0</v>
      </c>
    </row>
    <row r="212" spans="1:12" ht="12.75">
      <c r="A212" s="14">
        <v>39141</v>
      </c>
      <c r="B212" s="47" t="s">
        <v>90</v>
      </c>
      <c r="D212" s="49"/>
      <c r="E212" s="17"/>
      <c r="F212" s="31"/>
      <c r="G212" s="17">
        <v>-14804.51</v>
      </c>
      <c r="H212" s="32"/>
      <c r="J212" s="4">
        <f t="shared" si="9"/>
        <v>-34957791.946</v>
      </c>
      <c r="K212" s="6">
        <f t="shared" si="10"/>
        <v>0</v>
      </c>
      <c r="L212" s="9">
        <f t="shared" si="11"/>
        <v>0</v>
      </c>
    </row>
    <row r="213" spans="1:12" ht="12.75">
      <c r="A213" s="14">
        <v>39141</v>
      </c>
      <c r="B213" s="47" t="s">
        <v>90</v>
      </c>
      <c r="D213" s="49"/>
      <c r="E213" s="17"/>
      <c r="F213" s="31"/>
      <c r="G213" s="17">
        <v>-12867.53</v>
      </c>
      <c r="H213" s="32"/>
      <c r="J213" s="4">
        <f t="shared" si="9"/>
        <v>-34970659.476</v>
      </c>
      <c r="K213" s="6">
        <f t="shared" si="10"/>
        <v>0</v>
      </c>
      <c r="L213" s="9">
        <f t="shared" si="11"/>
        <v>0</v>
      </c>
    </row>
    <row r="214" spans="1:12" ht="12.75">
      <c r="A214" s="14">
        <v>39141</v>
      </c>
      <c r="B214" s="47" t="s">
        <v>90</v>
      </c>
      <c r="D214" s="49"/>
      <c r="E214" s="17"/>
      <c r="F214" s="31"/>
      <c r="G214" s="17">
        <v>-21528.97</v>
      </c>
      <c r="H214" s="32"/>
      <c r="J214" s="4">
        <f t="shared" si="9"/>
        <v>-34992188.446</v>
      </c>
      <c r="K214" s="6">
        <f t="shared" si="10"/>
        <v>0</v>
      </c>
      <c r="L214" s="9">
        <f t="shared" si="11"/>
        <v>0</v>
      </c>
    </row>
    <row r="215" spans="1:12" ht="12.75">
      <c r="A215" s="14">
        <v>39141</v>
      </c>
      <c r="B215" s="47" t="s">
        <v>90</v>
      </c>
      <c r="D215" s="49"/>
      <c r="E215" s="17"/>
      <c r="F215" s="31"/>
      <c r="G215" s="17">
        <v>-12954.17</v>
      </c>
      <c r="H215" s="32"/>
      <c r="J215" s="4">
        <f t="shared" si="9"/>
        <v>-35005142.616000004</v>
      </c>
      <c r="K215" s="6">
        <f t="shared" si="10"/>
        <v>0</v>
      </c>
      <c r="L215" s="9">
        <f t="shared" si="11"/>
        <v>0</v>
      </c>
    </row>
    <row r="216" spans="1:12" ht="12.75">
      <c r="A216" s="14">
        <v>39141</v>
      </c>
      <c r="B216" s="47" t="s">
        <v>90</v>
      </c>
      <c r="D216" s="49"/>
      <c r="E216" s="17"/>
      <c r="F216" s="31"/>
      <c r="G216" s="17">
        <v>-21677.69</v>
      </c>
      <c r="H216" s="32"/>
      <c r="J216" s="4">
        <f t="shared" si="9"/>
        <v>-35026820.306</v>
      </c>
      <c r="K216" s="6">
        <f t="shared" si="10"/>
        <v>0</v>
      </c>
      <c r="L216" s="9">
        <f t="shared" si="11"/>
        <v>0</v>
      </c>
    </row>
    <row r="217" spans="1:12" ht="12.75">
      <c r="A217" s="23">
        <v>39141</v>
      </c>
      <c r="B217" s="63" t="s">
        <v>45</v>
      </c>
      <c r="D217" s="15">
        <v>-300000</v>
      </c>
      <c r="E217" s="17"/>
      <c r="F217" s="31"/>
      <c r="G217" s="17"/>
      <c r="H217" s="32"/>
      <c r="J217" s="4">
        <f t="shared" si="9"/>
        <v>-35326820.306</v>
      </c>
      <c r="K217" s="6">
        <f t="shared" si="10"/>
        <v>0</v>
      </c>
      <c r="L217" s="9">
        <f t="shared" si="11"/>
        <v>0</v>
      </c>
    </row>
    <row r="218" spans="1:12" ht="12.75">
      <c r="A218" s="14">
        <v>39141</v>
      </c>
      <c r="B218" s="47" t="s">
        <v>7</v>
      </c>
      <c r="D218" s="33"/>
      <c r="E218" s="17">
        <v>-56700</v>
      </c>
      <c r="F218" s="31"/>
      <c r="G218" s="31"/>
      <c r="H218" s="32"/>
      <c r="J218" s="4">
        <f t="shared" si="9"/>
        <v>-35383520.306</v>
      </c>
      <c r="K218" s="6">
        <f t="shared" si="10"/>
        <v>0</v>
      </c>
      <c r="L218" s="9">
        <f t="shared" si="11"/>
        <v>0</v>
      </c>
    </row>
    <row r="219" spans="1:12" ht="12.75">
      <c r="A219" s="14">
        <v>39141</v>
      </c>
      <c r="B219" s="47" t="s">
        <v>7</v>
      </c>
      <c r="D219" s="33"/>
      <c r="E219" s="17">
        <v>-95250</v>
      </c>
      <c r="F219" s="31"/>
      <c r="G219" s="31"/>
      <c r="H219" s="32"/>
      <c r="J219" s="4">
        <f t="shared" si="9"/>
        <v>-35478770.306</v>
      </c>
      <c r="K219" s="6">
        <f t="shared" si="10"/>
        <v>0</v>
      </c>
      <c r="L219" s="9">
        <f t="shared" si="11"/>
        <v>0</v>
      </c>
    </row>
    <row r="220" spans="1:12" ht="12.75">
      <c r="A220" s="14">
        <v>39141</v>
      </c>
      <c r="B220" s="47" t="s">
        <v>7</v>
      </c>
      <c r="D220" s="33"/>
      <c r="E220" s="17">
        <v>-95250</v>
      </c>
      <c r="F220" s="31"/>
      <c r="G220" s="31"/>
      <c r="H220" s="32"/>
      <c r="J220" s="4">
        <f t="shared" si="9"/>
        <v>-35574020.306</v>
      </c>
      <c r="K220" s="6">
        <f t="shared" si="10"/>
        <v>1</v>
      </c>
      <c r="L220" s="9">
        <f t="shared" si="11"/>
        <v>-19492.61386630137</v>
      </c>
    </row>
    <row r="221" spans="1:12" ht="12.75">
      <c r="A221" s="14">
        <v>39142</v>
      </c>
      <c r="B221" s="47" t="s">
        <v>28</v>
      </c>
      <c r="D221" s="49">
        <v>-52500</v>
      </c>
      <c r="E221" s="17"/>
      <c r="F221" s="31"/>
      <c r="G221" s="17"/>
      <c r="H221" s="32"/>
      <c r="J221" s="4">
        <f t="shared" si="9"/>
        <v>-35626520.306</v>
      </c>
      <c r="K221" s="6">
        <f t="shared" si="10"/>
        <v>0</v>
      </c>
      <c r="L221" s="9">
        <f t="shared" si="11"/>
        <v>0</v>
      </c>
    </row>
    <row r="222" spans="1:12" ht="12.75">
      <c r="A222" s="14">
        <v>39142</v>
      </c>
      <c r="B222" s="47" t="s">
        <v>7</v>
      </c>
      <c r="D222" s="33"/>
      <c r="E222" s="17">
        <v>-76800</v>
      </c>
      <c r="F222" s="31"/>
      <c r="G222" s="31"/>
      <c r="H222" s="32"/>
      <c r="J222" s="4">
        <f t="shared" si="9"/>
        <v>-35703320.306</v>
      </c>
      <c r="K222" s="6">
        <f t="shared" si="10"/>
        <v>1</v>
      </c>
      <c r="L222" s="9">
        <f t="shared" si="11"/>
        <v>-19563.463181369865</v>
      </c>
    </row>
    <row r="223" spans="1:12" ht="12.75">
      <c r="A223" s="14">
        <v>39143</v>
      </c>
      <c r="B223" s="47" t="s">
        <v>33</v>
      </c>
      <c r="D223" s="17">
        <v>-300000</v>
      </c>
      <c r="E223" s="17"/>
      <c r="F223" s="31"/>
      <c r="G223" s="31"/>
      <c r="H223" s="32"/>
      <c r="J223" s="4">
        <f t="shared" si="9"/>
        <v>-36003320.306</v>
      </c>
      <c r="K223" s="6">
        <f t="shared" si="10"/>
        <v>0</v>
      </c>
      <c r="L223" s="9">
        <f t="shared" si="11"/>
        <v>0</v>
      </c>
    </row>
    <row r="224" spans="1:12" ht="12.75">
      <c r="A224" s="23">
        <v>39143</v>
      </c>
      <c r="B224" s="63" t="s">
        <v>95</v>
      </c>
      <c r="D224" s="17">
        <v>-38205.85</v>
      </c>
      <c r="E224" s="17"/>
      <c r="F224" s="31"/>
      <c r="G224" s="31"/>
      <c r="H224" s="32"/>
      <c r="J224" s="4">
        <f t="shared" si="9"/>
        <v>-36041526.156</v>
      </c>
      <c r="K224" s="6">
        <f t="shared" si="10"/>
        <v>0</v>
      </c>
      <c r="L224" s="9">
        <f t="shared" si="11"/>
        <v>0</v>
      </c>
    </row>
    <row r="225" spans="1:12" ht="12.75">
      <c r="A225" s="23">
        <v>39143</v>
      </c>
      <c r="B225" s="63" t="s">
        <v>28</v>
      </c>
      <c r="D225" s="17">
        <v>-31500</v>
      </c>
      <c r="E225" s="17"/>
      <c r="F225" s="31"/>
      <c r="G225" s="31"/>
      <c r="H225" s="32"/>
      <c r="J225" s="4">
        <f t="shared" si="9"/>
        <v>-36073026.156</v>
      </c>
      <c r="K225" s="6">
        <f t="shared" si="10"/>
        <v>0</v>
      </c>
      <c r="L225" s="9">
        <f t="shared" si="11"/>
        <v>0</v>
      </c>
    </row>
    <row r="226" spans="1:12" ht="12.75">
      <c r="A226" s="23">
        <v>39143</v>
      </c>
      <c r="B226" s="63" t="s">
        <v>20</v>
      </c>
      <c r="D226" s="17">
        <v>-53000</v>
      </c>
      <c r="E226" s="17"/>
      <c r="F226" s="31"/>
      <c r="G226" s="31"/>
      <c r="H226" s="32"/>
      <c r="J226" s="4">
        <f t="shared" si="9"/>
        <v>-36126026.156</v>
      </c>
      <c r="K226" s="6">
        <f t="shared" si="10"/>
        <v>0</v>
      </c>
      <c r="L226" s="9">
        <f t="shared" si="11"/>
        <v>0</v>
      </c>
    </row>
    <row r="227" spans="1:12" ht="12.75">
      <c r="A227" s="23">
        <v>39143</v>
      </c>
      <c r="B227" s="30" t="s">
        <v>98</v>
      </c>
      <c r="C227" s="29">
        <f>3038964.75*0.8</f>
        <v>2431171.8000000003</v>
      </c>
      <c r="D227" s="46"/>
      <c r="E227" s="17"/>
      <c r="F227" s="31"/>
      <c r="G227" s="31"/>
      <c r="H227" s="32"/>
      <c r="J227" s="4">
        <f t="shared" si="9"/>
        <v>-36126026.156</v>
      </c>
      <c r="K227" s="6">
        <f t="shared" si="10"/>
        <v>0</v>
      </c>
      <c r="L227" s="9">
        <f t="shared" si="11"/>
        <v>0</v>
      </c>
    </row>
    <row r="228" spans="1:12" ht="12.75">
      <c r="A228" s="23">
        <v>39143</v>
      </c>
      <c r="B228" s="13" t="s">
        <v>32</v>
      </c>
      <c r="C228" s="17">
        <f>-C227</f>
        <v>-2431171.8000000003</v>
      </c>
      <c r="D228" s="46"/>
      <c r="E228" s="17"/>
      <c r="F228" s="31"/>
      <c r="G228" s="31"/>
      <c r="H228" s="32">
        <f>-C228</f>
        <v>2431171.8000000003</v>
      </c>
      <c r="J228" s="4">
        <f t="shared" si="9"/>
        <v>-33694854.356000006</v>
      </c>
      <c r="K228" s="6">
        <f t="shared" si="10"/>
        <v>1</v>
      </c>
      <c r="L228" s="9">
        <f t="shared" si="11"/>
        <v>-18462.933893698635</v>
      </c>
    </row>
    <row r="229" spans="1:12" ht="12.75">
      <c r="A229" s="23">
        <v>39144</v>
      </c>
      <c r="B229" s="63" t="s">
        <v>36</v>
      </c>
      <c r="D229" s="17">
        <v>-4011.62</v>
      </c>
      <c r="E229" s="17"/>
      <c r="F229" s="31"/>
      <c r="G229" s="31"/>
      <c r="H229" s="32"/>
      <c r="J229" s="4">
        <f t="shared" si="9"/>
        <v>-33698865.976</v>
      </c>
      <c r="K229" s="6">
        <f t="shared" si="10"/>
        <v>2</v>
      </c>
      <c r="L229" s="9">
        <f t="shared" si="11"/>
        <v>-36930.26408328768</v>
      </c>
    </row>
    <row r="230" spans="1:12" ht="12.75">
      <c r="A230" s="23">
        <v>39146</v>
      </c>
      <c r="B230" s="63" t="s">
        <v>20</v>
      </c>
      <c r="D230" s="17">
        <v>-371000</v>
      </c>
      <c r="E230" s="17"/>
      <c r="F230" s="31"/>
      <c r="G230" s="31"/>
      <c r="H230" s="32"/>
      <c r="J230" s="4">
        <f t="shared" si="9"/>
        <v>-34069865.976</v>
      </c>
      <c r="K230" s="6">
        <f t="shared" si="10"/>
        <v>0</v>
      </c>
      <c r="L230" s="9">
        <f t="shared" si="11"/>
        <v>0</v>
      </c>
    </row>
    <row r="231" spans="1:12" ht="12.75">
      <c r="A231" s="23">
        <v>39146</v>
      </c>
      <c r="B231" s="63" t="s">
        <v>28</v>
      </c>
      <c r="D231" s="17">
        <v>-105000</v>
      </c>
      <c r="E231" s="17"/>
      <c r="F231" s="31"/>
      <c r="G231" s="31"/>
      <c r="H231" s="32"/>
      <c r="J231" s="4">
        <f t="shared" si="9"/>
        <v>-34174865.976</v>
      </c>
      <c r="K231" s="6">
        <f t="shared" si="10"/>
        <v>1</v>
      </c>
      <c r="L231" s="9">
        <f t="shared" si="11"/>
        <v>-18725.953959452057</v>
      </c>
    </row>
    <row r="232" spans="1:12" ht="12.75">
      <c r="A232" s="23">
        <v>39147</v>
      </c>
      <c r="B232" s="63" t="s">
        <v>20</v>
      </c>
      <c r="D232" s="17">
        <v>-106000</v>
      </c>
      <c r="E232" s="17"/>
      <c r="F232" s="31"/>
      <c r="G232" s="31"/>
      <c r="H232" s="32"/>
      <c r="J232" s="4">
        <f t="shared" si="9"/>
        <v>-34280865.976</v>
      </c>
      <c r="K232" s="6">
        <f t="shared" si="10"/>
        <v>0</v>
      </c>
      <c r="L232" s="9">
        <f t="shared" si="11"/>
        <v>0</v>
      </c>
    </row>
    <row r="233" spans="1:12" ht="12.75">
      <c r="A233" s="23">
        <v>39147</v>
      </c>
      <c r="B233" s="63" t="s">
        <v>21</v>
      </c>
      <c r="D233" s="17">
        <v>-105000</v>
      </c>
      <c r="E233" s="17"/>
      <c r="F233" s="31"/>
      <c r="G233" s="31"/>
      <c r="H233" s="32"/>
      <c r="J233" s="4">
        <f t="shared" si="9"/>
        <v>-34385865.976</v>
      </c>
      <c r="K233" s="6">
        <f t="shared" si="10"/>
        <v>1</v>
      </c>
      <c r="L233" s="9">
        <f t="shared" si="11"/>
        <v>-18841.57039780822</v>
      </c>
    </row>
    <row r="234" spans="1:12" ht="12.75">
      <c r="A234" s="23">
        <v>39148</v>
      </c>
      <c r="B234" s="63" t="s">
        <v>20</v>
      </c>
      <c r="D234" s="17">
        <v>-90100</v>
      </c>
      <c r="E234" s="17"/>
      <c r="F234" s="31"/>
      <c r="G234" s="31"/>
      <c r="H234" s="32"/>
      <c r="J234" s="4">
        <f t="shared" si="9"/>
        <v>-34475965.976</v>
      </c>
      <c r="K234" s="6">
        <f t="shared" si="10"/>
        <v>2</v>
      </c>
      <c r="L234" s="9">
        <f t="shared" si="11"/>
        <v>-37781.88052164384</v>
      </c>
    </row>
    <row r="235" spans="1:12" ht="12.75">
      <c r="A235" s="23">
        <v>39150</v>
      </c>
      <c r="B235" s="63" t="s">
        <v>20</v>
      </c>
      <c r="D235" s="17">
        <v>-371000</v>
      </c>
      <c r="E235" s="17"/>
      <c r="F235" s="31"/>
      <c r="G235" s="31"/>
      <c r="H235" s="32"/>
      <c r="J235" s="4">
        <f t="shared" si="9"/>
        <v>-34846965.976</v>
      </c>
      <c r="K235" s="6">
        <f t="shared" si="10"/>
        <v>0</v>
      </c>
      <c r="L235" s="9">
        <f t="shared" si="11"/>
        <v>0</v>
      </c>
    </row>
    <row r="236" spans="1:12" ht="12.75">
      <c r="A236" s="23">
        <v>39150</v>
      </c>
      <c r="B236" s="63" t="s">
        <v>95</v>
      </c>
      <c r="D236" s="17">
        <v>-19058.36</v>
      </c>
      <c r="E236" s="17"/>
      <c r="F236" s="31"/>
      <c r="G236" s="31"/>
      <c r="H236" s="32"/>
      <c r="J236" s="4">
        <f t="shared" si="9"/>
        <v>-34866024.336</v>
      </c>
      <c r="K236" s="6">
        <f t="shared" si="10"/>
        <v>0</v>
      </c>
      <c r="L236" s="9">
        <f t="shared" si="11"/>
        <v>0</v>
      </c>
    </row>
    <row r="237" spans="1:12" ht="12.75">
      <c r="A237" s="23">
        <v>39150</v>
      </c>
      <c r="B237" s="63" t="s">
        <v>7</v>
      </c>
      <c r="D237" s="33"/>
      <c r="E237" s="17">
        <v>-59340</v>
      </c>
      <c r="F237" s="31"/>
      <c r="G237" s="31"/>
      <c r="H237" s="32"/>
      <c r="J237" s="4">
        <f t="shared" si="9"/>
        <v>-34925364.336</v>
      </c>
      <c r="K237" s="6">
        <f t="shared" si="10"/>
        <v>0</v>
      </c>
      <c r="L237" s="9">
        <f t="shared" si="11"/>
        <v>0</v>
      </c>
    </row>
    <row r="238" spans="1:12" ht="12.75">
      <c r="A238" s="23">
        <v>39150</v>
      </c>
      <c r="B238" s="63" t="s">
        <v>7</v>
      </c>
      <c r="D238" s="33"/>
      <c r="E238" s="17">
        <v>-54825</v>
      </c>
      <c r="F238" s="31"/>
      <c r="G238" s="31"/>
      <c r="H238" s="32"/>
      <c r="J238" s="4">
        <f t="shared" si="9"/>
        <v>-34980189.336</v>
      </c>
      <c r="K238" s="6">
        <f t="shared" si="10"/>
        <v>1</v>
      </c>
      <c r="L238" s="9">
        <f t="shared" si="11"/>
        <v>-19167.22703342466</v>
      </c>
    </row>
    <row r="239" spans="1:12" ht="12.75">
      <c r="A239" s="23">
        <v>39151</v>
      </c>
      <c r="B239" s="63" t="s">
        <v>7</v>
      </c>
      <c r="D239" s="33"/>
      <c r="E239" s="17">
        <v>-56760</v>
      </c>
      <c r="F239" s="31"/>
      <c r="G239" s="31"/>
      <c r="H239" s="32"/>
      <c r="J239" s="4">
        <f t="shared" si="9"/>
        <v>-35036949.336</v>
      </c>
      <c r="K239" s="6">
        <f t="shared" si="10"/>
        <v>0</v>
      </c>
      <c r="L239" s="9">
        <f t="shared" si="11"/>
        <v>0</v>
      </c>
    </row>
    <row r="240" spans="1:12" ht="12.75">
      <c r="A240" s="23">
        <v>39151</v>
      </c>
      <c r="B240" s="63" t="s">
        <v>7</v>
      </c>
      <c r="D240" s="33"/>
      <c r="E240" s="17">
        <v>-58050</v>
      </c>
      <c r="F240" s="31"/>
      <c r="G240" s="31"/>
      <c r="H240" s="32"/>
      <c r="J240" s="4">
        <f t="shared" si="9"/>
        <v>-35094999.336</v>
      </c>
      <c r="K240" s="6">
        <f t="shared" si="10"/>
        <v>0</v>
      </c>
      <c r="L240" s="9">
        <f t="shared" si="11"/>
        <v>0</v>
      </c>
    </row>
    <row r="241" spans="1:12" ht="12.75">
      <c r="A241" s="23">
        <v>39151</v>
      </c>
      <c r="B241" s="30" t="s">
        <v>103</v>
      </c>
      <c r="C241" s="29">
        <f>5557081.91*0.8</f>
        <v>4445665.528</v>
      </c>
      <c r="D241" s="46"/>
      <c r="E241" s="17"/>
      <c r="F241" s="31"/>
      <c r="G241" s="31"/>
      <c r="H241" s="32"/>
      <c r="J241" s="4">
        <f t="shared" si="9"/>
        <v>-35094999.336</v>
      </c>
      <c r="K241" s="6">
        <f t="shared" si="10"/>
        <v>0</v>
      </c>
      <c r="L241" s="9">
        <f t="shared" si="11"/>
        <v>0</v>
      </c>
    </row>
    <row r="242" spans="1:12" ht="12.75">
      <c r="A242" s="23">
        <v>39151</v>
      </c>
      <c r="B242" s="13" t="s">
        <v>32</v>
      </c>
      <c r="C242" s="17">
        <f>-C241</f>
        <v>-4445665.528</v>
      </c>
      <c r="D242" s="46"/>
      <c r="E242" s="17"/>
      <c r="F242" s="31"/>
      <c r="G242" s="31"/>
      <c r="H242" s="32">
        <f>-C242</f>
        <v>4445665.528</v>
      </c>
      <c r="J242" s="4">
        <f t="shared" si="9"/>
        <v>-30649333.808000002</v>
      </c>
      <c r="K242" s="6">
        <f t="shared" si="10"/>
        <v>0</v>
      </c>
      <c r="L242" s="9">
        <f t="shared" si="11"/>
        <v>0</v>
      </c>
    </row>
    <row r="243" spans="1:12" ht="12.75">
      <c r="A243" s="23">
        <v>39151</v>
      </c>
      <c r="B243" s="30" t="s">
        <v>105</v>
      </c>
      <c r="C243" s="29">
        <f>1620335.32*0.8</f>
        <v>1296268.256</v>
      </c>
      <c r="D243" s="46"/>
      <c r="E243" s="17"/>
      <c r="F243" s="31"/>
      <c r="G243" s="31"/>
      <c r="H243" s="32"/>
      <c r="J243" s="4">
        <f t="shared" si="9"/>
        <v>-30649333.808000002</v>
      </c>
      <c r="K243" s="6">
        <f t="shared" si="10"/>
        <v>0</v>
      </c>
      <c r="L243" s="9">
        <f t="shared" si="11"/>
        <v>0</v>
      </c>
    </row>
    <row r="244" spans="1:12" ht="12.75">
      <c r="A244" s="23">
        <v>39151</v>
      </c>
      <c r="B244" s="13" t="s">
        <v>32</v>
      </c>
      <c r="C244" s="17">
        <f>-C243</f>
        <v>-1296268.256</v>
      </c>
      <c r="D244" s="46"/>
      <c r="E244" s="17"/>
      <c r="F244" s="31"/>
      <c r="G244" s="31"/>
      <c r="H244" s="32">
        <f>-C244</f>
        <v>1296268.256</v>
      </c>
      <c r="J244" s="4">
        <f t="shared" si="9"/>
        <v>-29353065.552</v>
      </c>
      <c r="K244" s="6">
        <f t="shared" si="10"/>
        <v>1</v>
      </c>
      <c r="L244" s="9">
        <f t="shared" si="11"/>
        <v>-16083.871535342467</v>
      </c>
    </row>
    <row r="245" spans="1:12" ht="12.75">
      <c r="A245" s="23">
        <v>39152</v>
      </c>
      <c r="B245" s="63" t="s">
        <v>7</v>
      </c>
      <c r="D245" s="33"/>
      <c r="E245" s="17">
        <v>-30960</v>
      </c>
      <c r="F245" s="31"/>
      <c r="G245" s="31"/>
      <c r="H245" s="32"/>
      <c r="J245" s="4">
        <f t="shared" si="9"/>
        <v>-29384025.552</v>
      </c>
      <c r="K245" s="6">
        <f t="shared" si="10"/>
        <v>0</v>
      </c>
      <c r="L245" s="9">
        <f t="shared" si="11"/>
        <v>0</v>
      </c>
    </row>
    <row r="246" spans="1:12" ht="12.75">
      <c r="A246" s="23">
        <v>39152</v>
      </c>
      <c r="B246" s="63" t="s">
        <v>7</v>
      </c>
      <c r="D246" s="33"/>
      <c r="E246" s="17">
        <v>-58050</v>
      </c>
      <c r="F246" s="31"/>
      <c r="G246" s="31"/>
      <c r="H246" s="32"/>
      <c r="J246" s="4">
        <f t="shared" si="9"/>
        <v>-29442075.552</v>
      </c>
      <c r="K246" s="6">
        <f t="shared" si="10"/>
        <v>0</v>
      </c>
      <c r="L246" s="9">
        <f t="shared" si="11"/>
        <v>0</v>
      </c>
    </row>
    <row r="247" spans="1:12" ht="12.75">
      <c r="A247" s="14">
        <v>39152</v>
      </c>
      <c r="B247" s="47" t="s">
        <v>7</v>
      </c>
      <c r="D247" s="33"/>
      <c r="E247" s="17">
        <v>-70950</v>
      </c>
      <c r="F247" s="31"/>
      <c r="G247" s="31"/>
      <c r="H247" s="32"/>
      <c r="J247" s="4">
        <f t="shared" si="9"/>
        <v>-29513025.552</v>
      </c>
      <c r="K247" s="6">
        <f t="shared" si="10"/>
        <v>0</v>
      </c>
      <c r="L247" s="9">
        <f t="shared" si="11"/>
        <v>0</v>
      </c>
    </row>
    <row r="248" spans="1:12" ht="12.75">
      <c r="A248" s="14">
        <v>39152</v>
      </c>
      <c r="B248" s="47" t="s">
        <v>7</v>
      </c>
      <c r="D248" s="33"/>
      <c r="E248" s="17">
        <v>-69660</v>
      </c>
      <c r="F248" s="31"/>
      <c r="G248" s="31"/>
      <c r="H248" s="32"/>
      <c r="J248" s="4">
        <f t="shared" si="9"/>
        <v>-29582685.552</v>
      </c>
      <c r="K248" s="6">
        <f t="shared" si="10"/>
        <v>0</v>
      </c>
      <c r="L248" s="9">
        <f t="shared" si="11"/>
        <v>0</v>
      </c>
    </row>
    <row r="249" spans="1:12" ht="12.75">
      <c r="A249" s="14">
        <v>39152</v>
      </c>
      <c r="B249" s="47" t="s">
        <v>7</v>
      </c>
      <c r="D249" s="33"/>
      <c r="E249" s="17">
        <v>-41925</v>
      </c>
      <c r="F249" s="31"/>
      <c r="G249" s="31"/>
      <c r="H249" s="32"/>
      <c r="J249" s="4">
        <f t="shared" si="9"/>
        <v>-29624610.552</v>
      </c>
      <c r="K249" s="6">
        <f t="shared" si="10"/>
        <v>0</v>
      </c>
      <c r="L249" s="9">
        <f t="shared" si="11"/>
        <v>0</v>
      </c>
    </row>
    <row r="250" spans="1:12" ht="12.75">
      <c r="A250" s="14">
        <v>39152</v>
      </c>
      <c r="B250" s="47" t="s">
        <v>7</v>
      </c>
      <c r="D250" s="33"/>
      <c r="E250" s="17">
        <v>-45150</v>
      </c>
      <c r="F250" s="31"/>
      <c r="G250" s="31"/>
      <c r="H250" s="32"/>
      <c r="J250" s="4">
        <f t="shared" si="9"/>
        <v>-29669760.552</v>
      </c>
      <c r="K250" s="6">
        <f t="shared" si="10"/>
        <v>1</v>
      </c>
      <c r="L250" s="9">
        <f t="shared" si="11"/>
        <v>-16257.403042191783</v>
      </c>
    </row>
    <row r="251" spans="1:12" ht="12.75">
      <c r="A251" s="14">
        <v>39153</v>
      </c>
      <c r="B251" s="47" t="s">
        <v>7</v>
      </c>
      <c r="D251" s="33"/>
      <c r="E251" s="17">
        <v>-46117.5</v>
      </c>
      <c r="F251" s="31"/>
      <c r="G251" s="31"/>
      <c r="H251" s="32"/>
      <c r="J251" s="4">
        <f t="shared" si="9"/>
        <v>-29715878.052</v>
      </c>
      <c r="K251" s="6">
        <f t="shared" si="10"/>
        <v>0</v>
      </c>
      <c r="L251" s="9">
        <f t="shared" si="11"/>
        <v>0</v>
      </c>
    </row>
    <row r="252" spans="1:12" ht="12.75">
      <c r="A252" s="14">
        <v>39153</v>
      </c>
      <c r="B252" s="47" t="s">
        <v>7</v>
      </c>
      <c r="D252" s="33"/>
      <c r="E252" s="17">
        <v>-42892.5</v>
      </c>
      <c r="F252" s="31"/>
      <c r="G252" s="31"/>
      <c r="H252" s="32"/>
      <c r="J252" s="4">
        <f t="shared" si="9"/>
        <v>-29758770.552</v>
      </c>
      <c r="K252" s="6">
        <f t="shared" si="10"/>
        <v>0</v>
      </c>
      <c r="L252" s="9">
        <f t="shared" si="11"/>
        <v>0</v>
      </c>
    </row>
    <row r="253" spans="1:12" ht="12.75">
      <c r="A253" s="14">
        <v>39153</v>
      </c>
      <c r="B253" s="47" t="s">
        <v>7</v>
      </c>
      <c r="D253" s="33"/>
      <c r="E253" s="17">
        <v>-77400</v>
      </c>
      <c r="F253" s="31"/>
      <c r="G253" s="31"/>
      <c r="H253" s="32"/>
      <c r="J253" s="4">
        <f t="shared" si="9"/>
        <v>-29836170.552</v>
      </c>
      <c r="K253" s="6">
        <f t="shared" si="10"/>
        <v>0</v>
      </c>
      <c r="L253" s="9">
        <f t="shared" si="11"/>
        <v>0</v>
      </c>
    </row>
    <row r="254" spans="1:12" ht="12.75">
      <c r="A254" s="14">
        <v>39153</v>
      </c>
      <c r="B254" s="47" t="s">
        <v>7</v>
      </c>
      <c r="D254" s="33"/>
      <c r="E254" s="17">
        <v>-31927.5</v>
      </c>
      <c r="F254" s="31"/>
      <c r="G254" s="31"/>
      <c r="H254" s="32"/>
      <c r="J254" s="4">
        <f t="shared" si="9"/>
        <v>-29868098.052</v>
      </c>
      <c r="K254" s="6">
        <f t="shared" si="10"/>
        <v>0</v>
      </c>
      <c r="L254" s="9">
        <f t="shared" si="11"/>
        <v>0</v>
      </c>
    </row>
    <row r="255" spans="1:12" ht="12.75">
      <c r="A255" s="14">
        <v>39153</v>
      </c>
      <c r="B255" s="47" t="s">
        <v>7</v>
      </c>
      <c r="D255" s="33"/>
      <c r="E255" s="17">
        <v>-50632.5</v>
      </c>
      <c r="F255" s="31"/>
      <c r="G255" s="31"/>
      <c r="H255" s="32"/>
      <c r="J255" s="4">
        <f t="shared" si="9"/>
        <v>-29918730.552</v>
      </c>
      <c r="K255" s="6">
        <f t="shared" si="10"/>
        <v>0</v>
      </c>
      <c r="L255" s="9">
        <f t="shared" si="11"/>
        <v>0</v>
      </c>
    </row>
    <row r="256" spans="1:12" ht="12.75">
      <c r="A256" s="14">
        <v>39153</v>
      </c>
      <c r="B256" s="47" t="s">
        <v>35</v>
      </c>
      <c r="D256" s="48">
        <v>-725000</v>
      </c>
      <c r="E256" s="17"/>
      <c r="F256" s="31"/>
      <c r="G256" s="31"/>
      <c r="H256" s="32"/>
      <c r="J256" s="4">
        <f t="shared" si="9"/>
        <v>-30643730.552</v>
      </c>
      <c r="K256" s="6">
        <f t="shared" si="10"/>
        <v>0</v>
      </c>
      <c r="L256" s="9">
        <f t="shared" si="11"/>
        <v>0</v>
      </c>
    </row>
    <row r="257" spans="1:12" ht="12.75">
      <c r="A257" s="14">
        <v>39153</v>
      </c>
      <c r="B257" s="47" t="s">
        <v>27</v>
      </c>
      <c r="D257" s="48">
        <v>-151610</v>
      </c>
      <c r="E257" s="17"/>
      <c r="F257" s="31"/>
      <c r="G257" s="31"/>
      <c r="H257" s="32"/>
      <c r="J257" s="4">
        <f t="shared" si="9"/>
        <v>-30795340.552</v>
      </c>
      <c r="K257" s="6">
        <f t="shared" si="10"/>
        <v>0</v>
      </c>
      <c r="L257" s="9">
        <f t="shared" si="11"/>
        <v>0</v>
      </c>
    </row>
    <row r="258" spans="1:12" ht="12.75">
      <c r="A258" s="23">
        <v>39153</v>
      </c>
      <c r="B258" s="63" t="s">
        <v>95</v>
      </c>
      <c r="D258" s="17">
        <v>-19077.71</v>
      </c>
      <c r="E258" s="17"/>
      <c r="F258" s="31"/>
      <c r="G258" s="31"/>
      <c r="H258" s="32"/>
      <c r="J258" s="4">
        <f t="shared" si="9"/>
        <v>-30814418.262000002</v>
      </c>
      <c r="K258" s="6">
        <f t="shared" si="10"/>
        <v>1</v>
      </c>
      <c r="L258" s="9">
        <f t="shared" si="11"/>
        <v>-16884.612746301373</v>
      </c>
    </row>
    <row r="259" spans="1:12" ht="12.75">
      <c r="A259" s="23">
        <v>39154</v>
      </c>
      <c r="B259" s="63" t="s">
        <v>95</v>
      </c>
      <c r="D259" s="17">
        <v>-19063.74</v>
      </c>
      <c r="E259" s="17"/>
      <c r="F259" s="31"/>
      <c r="G259" s="31"/>
      <c r="H259" s="32"/>
      <c r="J259" s="4">
        <f t="shared" si="9"/>
        <v>-30833482.002</v>
      </c>
      <c r="K259" s="6">
        <f t="shared" si="10"/>
        <v>0</v>
      </c>
      <c r="L259" s="9">
        <f t="shared" si="11"/>
        <v>0</v>
      </c>
    </row>
    <row r="260" spans="1:12" ht="12.75">
      <c r="A260" s="23">
        <v>39154</v>
      </c>
      <c r="B260" s="63" t="s">
        <v>91</v>
      </c>
      <c r="D260" s="17">
        <v>-26430</v>
      </c>
      <c r="E260" s="17"/>
      <c r="F260" s="31"/>
      <c r="G260" s="31"/>
      <c r="H260" s="32"/>
      <c r="J260" s="4">
        <f t="shared" si="9"/>
        <v>-30859912.002</v>
      </c>
      <c r="K260" s="6">
        <f t="shared" si="10"/>
        <v>0</v>
      </c>
      <c r="L260" s="9">
        <f t="shared" si="11"/>
        <v>0</v>
      </c>
    </row>
    <row r="261" spans="1:12" ht="12.75">
      <c r="A261" s="23">
        <v>39154</v>
      </c>
      <c r="B261" s="63" t="s">
        <v>92</v>
      </c>
      <c r="D261" s="17">
        <v>-5550</v>
      </c>
      <c r="E261" s="17"/>
      <c r="F261" s="31"/>
      <c r="G261" s="31"/>
      <c r="H261" s="32"/>
      <c r="J261" s="4">
        <f aca="true" t="shared" si="12" ref="J261:J324">J260+D261+E261+F261+G261+H261+I261</f>
        <v>-30865462.002</v>
      </c>
      <c r="K261" s="6">
        <f aca="true" t="shared" si="13" ref="K261:K324">DATEDIF(A261,A262,"d")</f>
        <v>0</v>
      </c>
      <c r="L261" s="9">
        <f aca="true" t="shared" si="14" ref="L261:L324">J261*K261*0.2/365</f>
        <v>0</v>
      </c>
    </row>
    <row r="262" spans="1:12" ht="12.75">
      <c r="A262" s="23">
        <v>39154</v>
      </c>
      <c r="B262" s="63" t="s">
        <v>93</v>
      </c>
      <c r="D262" s="17">
        <v>-49770</v>
      </c>
      <c r="E262" s="17"/>
      <c r="F262" s="31"/>
      <c r="G262" s="31"/>
      <c r="H262" s="32"/>
      <c r="J262" s="4">
        <f t="shared" si="12"/>
        <v>-30915232.002</v>
      </c>
      <c r="K262" s="6">
        <f t="shared" si="13"/>
        <v>0</v>
      </c>
      <c r="L262" s="9">
        <f t="shared" si="14"/>
        <v>0</v>
      </c>
    </row>
    <row r="263" spans="1:12" ht="12.75">
      <c r="A263" s="23">
        <v>39154</v>
      </c>
      <c r="B263" s="63" t="s">
        <v>20</v>
      </c>
      <c r="D263" s="17">
        <v>-74200</v>
      </c>
      <c r="E263" s="17"/>
      <c r="F263" s="31"/>
      <c r="G263" s="31"/>
      <c r="H263" s="32"/>
      <c r="J263" s="4">
        <f t="shared" si="12"/>
        <v>-30989432.002</v>
      </c>
      <c r="K263" s="6">
        <f t="shared" si="13"/>
        <v>0</v>
      </c>
      <c r="L263" s="9">
        <f t="shared" si="14"/>
        <v>0</v>
      </c>
    </row>
    <row r="264" spans="1:12" ht="12.75">
      <c r="A264" s="23">
        <v>39154</v>
      </c>
      <c r="B264" s="63" t="s">
        <v>28</v>
      </c>
      <c r="D264" s="15">
        <v>-367500</v>
      </c>
      <c r="E264" s="17"/>
      <c r="F264" s="31"/>
      <c r="G264" s="31"/>
      <c r="H264" s="32"/>
      <c r="J264" s="4">
        <f t="shared" si="12"/>
        <v>-31356932.002</v>
      </c>
      <c r="K264" s="6">
        <f t="shared" si="13"/>
        <v>0</v>
      </c>
      <c r="L264" s="9">
        <f t="shared" si="14"/>
        <v>0</v>
      </c>
    </row>
    <row r="265" spans="1:12" ht="12.75">
      <c r="A265" s="23">
        <v>39154</v>
      </c>
      <c r="B265" s="63" t="s">
        <v>22</v>
      </c>
      <c r="D265" s="15">
        <v>-60000</v>
      </c>
      <c r="E265" s="17"/>
      <c r="F265" s="31"/>
      <c r="G265" s="31"/>
      <c r="H265" s="32"/>
      <c r="J265" s="4">
        <f t="shared" si="12"/>
        <v>-31416932.002</v>
      </c>
      <c r="K265" s="6">
        <f t="shared" si="13"/>
        <v>1</v>
      </c>
      <c r="L265" s="9">
        <f t="shared" si="14"/>
        <v>-17214.757261369865</v>
      </c>
    </row>
    <row r="266" spans="1:12" ht="12.75">
      <c r="A266" s="23">
        <v>39155</v>
      </c>
      <c r="B266" s="63" t="s">
        <v>30</v>
      </c>
      <c r="D266" s="15"/>
      <c r="E266" s="17"/>
      <c r="F266" s="31"/>
      <c r="G266" s="17">
        <v>-29790.69</v>
      </c>
      <c r="H266" s="32"/>
      <c r="J266" s="4">
        <f t="shared" si="12"/>
        <v>-31446722.692</v>
      </c>
      <c r="K266" s="6">
        <f t="shared" si="13"/>
        <v>0</v>
      </c>
      <c r="L266" s="9">
        <f t="shared" si="14"/>
        <v>0</v>
      </c>
    </row>
    <row r="267" spans="1:12" ht="12.75">
      <c r="A267" s="23">
        <v>39155</v>
      </c>
      <c r="B267" s="63" t="s">
        <v>27</v>
      </c>
      <c r="D267" s="15">
        <v>-15260</v>
      </c>
      <c r="E267" s="17"/>
      <c r="F267" s="31"/>
      <c r="G267" s="17"/>
      <c r="H267" s="32"/>
      <c r="J267" s="4">
        <f t="shared" si="12"/>
        <v>-31461982.692</v>
      </c>
      <c r="K267" s="6">
        <f t="shared" si="13"/>
        <v>0</v>
      </c>
      <c r="L267" s="9">
        <f t="shared" si="14"/>
        <v>0</v>
      </c>
    </row>
    <row r="268" spans="1:12" ht="12.75">
      <c r="A268" s="23">
        <v>39155</v>
      </c>
      <c r="B268" s="63" t="s">
        <v>95</v>
      </c>
      <c r="D268" s="15">
        <v>-19093.22</v>
      </c>
      <c r="E268" s="17"/>
      <c r="F268" s="31"/>
      <c r="G268" s="17"/>
      <c r="H268" s="32"/>
      <c r="J268" s="4">
        <f t="shared" si="12"/>
        <v>-31481075.912</v>
      </c>
      <c r="K268" s="6">
        <f t="shared" si="13"/>
        <v>0</v>
      </c>
      <c r="L268" s="9">
        <f t="shared" si="14"/>
        <v>0</v>
      </c>
    </row>
    <row r="269" spans="1:12" ht="12.75">
      <c r="A269" s="23">
        <v>39155</v>
      </c>
      <c r="B269" s="63" t="s">
        <v>45</v>
      </c>
      <c r="D269" s="15">
        <v>-1000000</v>
      </c>
      <c r="E269" s="17"/>
      <c r="F269" s="31"/>
      <c r="G269" s="17"/>
      <c r="H269" s="32"/>
      <c r="J269" s="4">
        <f t="shared" si="12"/>
        <v>-32481075.912</v>
      </c>
      <c r="K269" s="6">
        <f t="shared" si="13"/>
        <v>1</v>
      </c>
      <c r="L269" s="9">
        <f t="shared" si="14"/>
        <v>-17797.84981479452</v>
      </c>
    </row>
    <row r="270" spans="1:12" ht="12.75">
      <c r="A270" s="23">
        <v>39156</v>
      </c>
      <c r="B270" s="63" t="s">
        <v>45</v>
      </c>
      <c r="D270" s="15">
        <v>-233902.35</v>
      </c>
      <c r="E270" s="17"/>
      <c r="F270" s="31"/>
      <c r="G270" s="17"/>
      <c r="H270" s="32"/>
      <c r="J270" s="4">
        <f t="shared" si="12"/>
        <v>-32714978.262000002</v>
      </c>
      <c r="K270" s="6">
        <f t="shared" si="13"/>
        <v>0</v>
      </c>
      <c r="L270" s="9">
        <f t="shared" si="14"/>
        <v>0</v>
      </c>
    </row>
    <row r="271" spans="1:12" ht="12.75">
      <c r="A271" s="23">
        <v>39156</v>
      </c>
      <c r="B271" s="63" t="s">
        <v>20</v>
      </c>
      <c r="D271" s="15">
        <v>-143100</v>
      </c>
      <c r="E271" s="17"/>
      <c r="F271" s="31"/>
      <c r="G271" s="17"/>
      <c r="H271" s="32"/>
      <c r="J271" s="4">
        <f t="shared" si="12"/>
        <v>-32858078.262000002</v>
      </c>
      <c r="K271" s="6">
        <f t="shared" si="13"/>
        <v>0</v>
      </c>
      <c r="L271" s="9">
        <f t="shared" si="14"/>
        <v>0</v>
      </c>
    </row>
    <row r="272" spans="1:12" ht="12.75">
      <c r="A272" s="23">
        <v>39156</v>
      </c>
      <c r="B272" s="63" t="s">
        <v>21</v>
      </c>
      <c r="D272" s="15">
        <v>-31500</v>
      </c>
      <c r="E272" s="17"/>
      <c r="F272" s="31"/>
      <c r="G272" s="17"/>
      <c r="H272" s="32"/>
      <c r="J272" s="4">
        <f t="shared" si="12"/>
        <v>-32889578.262000002</v>
      </c>
      <c r="K272" s="6">
        <f t="shared" si="13"/>
        <v>0</v>
      </c>
      <c r="L272" s="9">
        <f t="shared" si="14"/>
        <v>0</v>
      </c>
    </row>
    <row r="273" spans="1:12" ht="12.75">
      <c r="A273" s="23">
        <v>39156</v>
      </c>
      <c r="B273" s="63" t="s">
        <v>94</v>
      </c>
      <c r="D273" s="15">
        <v>-145778.7</v>
      </c>
      <c r="E273" s="17"/>
      <c r="F273" s="31"/>
      <c r="G273" s="17"/>
      <c r="H273" s="32"/>
      <c r="J273" s="4">
        <f t="shared" si="12"/>
        <v>-33035356.962</v>
      </c>
      <c r="K273" s="6">
        <f t="shared" si="13"/>
        <v>0</v>
      </c>
      <c r="L273" s="9">
        <f t="shared" si="14"/>
        <v>0</v>
      </c>
    </row>
    <row r="274" spans="1:12" ht="12.75">
      <c r="A274" s="23">
        <v>39156</v>
      </c>
      <c r="B274" s="63" t="s">
        <v>95</v>
      </c>
      <c r="D274" s="15">
        <v>-30000</v>
      </c>
      <c r="E274" s="17"/>
      <c r="F274" s="31"/>
      <c r="G274" s="17"/>
      <c r="H274" s="32"/>
      <c r="J274" s="4">
        <f t="shared" si="12"/>
        <v>-33065356.962</v>
      </c>
      <c r="K274" s="6">
        <f t="shared" si="13"/>
        <v>0</v>
      </c>
      <c r="L274" s="9">
        <f t="shared" si="14"/>
        <v>0</v>
      </c>
    </row>
    <row r="275" spans="1:12" ht="12.75">
      <c r="A275" s="23">
        <v>39156</v>
      </c>
      <c r="B275" s="63" t="s">
        <v>7</v>
      </c>
      <c r="D275" s="33"/>
      <c r="E275" s="17">
        <v>-77400</v>
      </c>
      <c r="F275" s="31"/>
      <c r="G275" s="31"/>
      <c r="H275" s="32"/>
      <c r="J275" s="4">
        <f t="shared" si="12"/>
        <v>-33142756.962</v>
      </c>
      <c r="K275" s="6">
        <f t="shared" si="13"/>
        <v>0</v>
      </c>
      <c r="L275" s="9">
        <f t="shared" si="14"/>
        <v>0</v>
      </c>
    </row>
    <row r="276" spans="1:12" ht="12.75">
      <c r="A276" s="23">
        <v>39156</v>
      </c>
      <c r="B276" s="63" t="s">
        <v>7</v>
      </c>
      <c r="D276" s="33"/>
      <c r="E276" s="17">
        <v>-39300</v>
      </c>
      <c r="F276" s="31"/>
      <c r="G276" s="31"/>
      <c r="H276" s="32"/>
      <c r="J276" s="4">
        <f t="shared" si="12"/>
        <v>-33182056.962</v>
      </c>
      <c r="K276" s="6">
        <f t="shared" si="13"/>
        <v>1</v>
      </c>
      <c r="L276" s="9">
        <f t="shared" si="14"/>
        <v>-18181.949020273973</v>
      </c>
    </row>
    <row r="277" spans="1:12" ht="12.75">
      <c r="A277" s="23">
        <v>39157</v>
      </c>
      <c r="B277" s="63" t="s">
        <v>95</v>
      </c>
      <c r="D277" s="15">
        <v>-14000</v>
      </c>
      <c r="E277" s="17"/>
      <c r="F277" s="31"/>
      <c r="G277" s="31"/>
      <c r="H277" s="32"/>
      <c r="J277" s="4">
        <f t="shared" si="12"/>
        <v>-33196056.962</v>
      </c>
      <c r="K277" s="6">
        <f t="shared" si="13"/>
        <v>0</v>
      </c>
      <c r="L277" s="9">
        <f t="shared" si="14"/>
        <v>0</v>
      </c>
    </row>
    <row r="278" spans="1:12" ht="12.75">
      <c r="A278" s="23">
        <v>39157</v>
      </c>
      <c r="B278" s="63" t="s">
        <v>36</v>
      </c>
      <c r="D278" s="15">
        <v>-2009.19</v>
      </c>
      <c r="E278" s="17"/>
      <c r="F278" s="31"/>
      <c r="G278" s="31"/>
      <c r="H278" s="32"/>
      <c r="J278" s="4">
        <f t="shared" si="12"/>
        <v>-33198066.152000003</v>
      </c>
      <c r="K278" s="6">
        <f t="shared" si="13"/>
        <v>0</v>
      </c>
      <c r="L278" s="9">
        <f t="shared" si="14"/>
        <v>0</v>
      </c>
    </row>
    <row r="279" spans="1:12" ht="12.75">
      <c r="A279" s="23">
        <v>39157</v>
      </c>
      <c r="B279" s="63" t="s">
        <v>95</v>
      </c>
      <c r="D279" s="15">
        <v>-13251.34</v>
      </c>
      <c r="E279" s="17"/>
      <c r="F279" s="31"/>
      <c r="G279" s="31"/>
      <c r="H279" s="32"/>
      <c r="J279" s="4">
        <f t="shared" si="12"/>
        <v>-33211317.492000002</v>
      </c>
      <c r="K279" s="6">
        <f t="shared" si="13"/>
        <v>3</v>
      </c>
      <c r="L279" s="9">
        <f t="shared" si="14"/>
        <v>-54593.94656219179</v>
      </c>
    </row>
    <row r="280" spans="1:12" ht="12.75">
      <c r="A280" s="23">
        <v>39160</v>
      </c>
      <c r="B280" s="63" t="s">
        <v>27</v>
      </c>
      <c r="D280" s="15">
        <v>-70810</v>
      </c>
      <c r="E280" s="17"/>
      <c r="F280" s="31"/>
      <c r="G280" s="31"/>
      <c r="H280" s="32"/>
      <c r="J280" s="4">
        <f t="shared" si="12"/>
        <v>-33282127.492000002</v>
      </c>
      <c r="K280" s="6">
        <f t="shared" si="13"/>
        <v>0</v>
      </c>
      <c r="L280" s="9">
        <f t="shared" si="14"/>
        <v>0</v>
      </c>
    </row>
    <row r="281" spans="1:12" ht="12.75">
      <c r="A281" s="23">
        <v>39160</v>
      </c>
      <c r="B281" s="63" t="s">
        <v>95</v>
      </c>
      <c r="D281" s="15">
        <v>-300000</v>
      </c>
      <c r="E281" s="17"/>
      <c r="F281" s="31"/>
      <c r="G281" s="31"/>
      <c r="H281" s="32"/>
      <c r="J281" s="4">
        <f t="shared" si="12"/>
        <v>-33582127.492</v>
      </c>
      <c r="K281" s="6">
        <f t="shared" si="13"/>
        <v>0</v>
      </c>
      <c r="L281" s="9">
        <f t="shared" si="14"/>
        <v>0</v>
      </c>
    </row>
    <row r="282" spans="1:12" ht="12.75">
      <c r="A282" s="23">
        <v>39160</v>
      </c>
      <c r="B282" s="63" t="s">
        <v>36</v>
      </c>
      <c r="D282" s="15">
        <v>-2015.54</v>
      </c>
      <c r="E282" s="17"/>
      <c r="F282" s="31"/>
      <c r="G282" s="31"/>
      <c r="H282" s="32"/>
      <c r="J282" s="4">
        <f t="shared" si="12"/>
        <v>-33584143.032</v>
      </c>
      <c r="K282" s="6">
        <f t="shared" si="13"/>
        <v>1</v>
      </c>
      <c r="L282" s="9">
        <f t="shared" si="14"/>
        <v>-18402.27015452055</v>
      </c>
    </row>
    <row r="283" spans="1:12" ht="12.75">
      <c r="A283" s="23">
        <v>39161</v>
      </c>
      <c r="B283" s="30" t="s">
        <v>106</v>
      </c>
      <c r="C283" s="29">
        <f>387035.25*0.8</f>
        <v>309628.2</v>
      </c>
      <c r="D283" s="46"/>
      <c r="E283" s="17"/>
      <c r="F283" s="31"/>
      <c r="G283" s="31"/>
      <c r="H283" s="32"/>
      <c r="J283" s="4">
        <f t="shared" si="12"/>
        <v>-33584143.032</v>
      </c>
      <c r="K283" s="6">
        <f t="shared" si="13"/>
        <v>0</v>
      </c>
      <c r="L283" s="9">
        <f t="shared" si="14"/>
        <v>0</v>
      </c>
    </row>
    <row r="284" spans="1:12" ht="12.75">
      <c r="A284" s="23">
        <v>39161</v>
      </c>
      <c r="B284" s="13" t="s">
        <v>32</v>
      </c>
      <c r="C284" s="17">
        <f>-C283</f>
        <v>-309628.2</v>
      </c>
      <c r="D284" s="46"/>
      <c r="E284" s="17"/>
      <c r="F284" s="31"/>
      <c r="G284" s="31"/>
      <c r="H284" s="32">
        <f>-C284</f>
        <v>309628.2</v>
      </c>
      <c r="J284" s="4">
        <f t="shared" si="12"/>
        <v>-33274514.832</v>
      </c>
      <c r="K284" s="6">
        <f t="shared" si="13"/>
        <v>0</v>
      </c>
      <c r="L284" s="9">
        <f t="shared" si="14"/>
        <v>0</v>
      </c>
    </row>
    <row r="285" spans="1:12" ht="12.75">
      <c r="A285" s="14">
        <v>39161</v>
      </c>
      <c r="B285" s="47" t="s">
        <v>21</v>
      </c>
      <c r="D285" s="49">
        <v>-42000</v>
      </c>
      <c r="E285" s="17"/>
      <c r="F285" s="31"/>
      <c r="G285" s="31"/>
      <c r="H285" s="32"/>
      <c r="J285" s="4">
        <f t="shared" si="12"/>
        <v>-33316514.832</v>
      </c>
      <c r="K285" s="6">
        <f t="shared" si="13"/>
        <v>0</v>
      </c>
      <c r="L285" s="9">
        <f t="shared" si="14"/>
        <v>0</v>
      </c>
    </row>
    <row r="286" spans="1:12" ht="12.75">
      <c r="A286" s="14">
        <v>39161</v>
      </c>
      <c r="B286" s="47" t="s">
        <v>20</v>
      </c>
      <c r="D286" s="49">
        <v>-201400</v>
      </c>
      <c r="E286" s="17"/>
      <c r="F286" s="31"/>
      <c r="G286" s="31"/>
      <c r="H286" s="32"/>
      <c r="J286" s="4">
        <f t="shared" si="12"/>
        <v>-33517914.832</v>
      </c>
      <c r="K286" s="6">
        <f t="shared" si="13"/>
        <v>0</v>
      </c>
      <c r="L286" s="9">
        <f t="shared" si="14"/>
        <v>0</v>
      </c>
    </row>
    <row r="287" spans="1:12" ht="12.75">
      <c r="A287" s="14">
        <v>39161</v>
      </c>
      <c r="B287" s="47" t="s">
        <v>64</v>
      </c>
      <c r="D287" s="49">
        <v>-148838.55</v>
      </c>
      <c r="E287" s="17"/>
      <c r="F287" s="31"/>
      <c r="G287" s="31"/>
      <c r="H287" s="32"/>
      <c r="J287" s="4">
        <f t="shared" si="12"/>
        <v>-33666753.382</v>
      </c>
      <c r="K287" s="6">
        <f t="shared" si="13"/>
        <v>0</v>
      </c>
      <c r="L287" s="9">
        <f t="shared" si="14"/>
        <v>0</v>
      </c>
    </row>
    <row r="288" spans="1:12" ht="12.75">
      <c r="A288" s="14">
        <v>39161</v>
      </c>
      <c r="B288" s="47" t="s">
        <v>95</v>
      </c>
      <c r="D288" s="49">
        <v>-302000</v>
      </c>
      <c r="E288" s="17"/>
      <c r="F288" s="31"/>
      <c r="G288" s="31"/>
      <c r="H288" s="32"/>
      <c r="J288" s="4">
        <f t="shared" si="12"/>
        <v>-33968753.382</v>
      </c>
      <c r="K288" s="6">
        <f t="shared" si="13"/>
        <v>0</v>
      </c>
      <c r="L288" s="9">
        <f t="shared" si="14"/>
        <v>0</v>
      </c>
    </row>
    <row r="289" spans="1:12" ht="12.75">
      <c r="A289" s="14">
        <v>39161</v>
      </c>
      <c r="B289" s="47" t="s">
        <v>22</v>
      </c>
      <c r="D289" s="49">
        <v>-250000</v>
      </c>
      <c r="E289" s="17"/>
      <c r="F289" s="31"/>
      <c r="G289" s="31"/>
      <c r="H289" s="32"/>
      <c r="J289" s="4">
        <f t="shared" si="12"/>
        <v>-34218753.382</v>
      </c>
      <c r="K289" s="6">
        <f t="shared" si="13"/>
        <v>0</v>
      </c>
      <c r="L289" s="9">
        <f t="shared" si="14"/>
        <v>0</v>
      </c>
    </row>
    <row r="290" spans="1:12" ht="12.75">
      <c r="A290" s="14">
        <v>39161</v>
      </c>
      <c r="B290" s="47" t="s">
        <v>33</v>
      </c>
      <c r="D290" s="49">
        <v>-300000</v>
      </c>
      <c r="E290" s="17"/>
      <c r="F290" s="31"/>
      <c r="G290" s="31"/>
      <c r="H290" s="32"/>
      <c r="J290" s="4">
        <f t="shared" si="12"/>
        <v>-34518753.382</v>
      </c>
      <c r="K290" s="6">
        <f t="shared" si="13"/>
        <v>2</v>
      </c>
      <c r="L290" s="9">
        <f t="shared" si="14"/>
        <v>-37828.77082958904</v>
      </c>
    </row>
    <row r="291" spans="1:12" ht="12.75">
      <c r="A291" s="14">
        <v>39163</v>
      </c>
      <c r="B291" s="47" t="s">
        <v>95</v>
      </c>
      <c r="D291" s="49">
        <v>-45000</v>
      </c>
      <c r="E291" s="17"/>
      <c r="F291" s="31"/>
      <c r="G291" s="31"/>
      <c r="H291" s="32"/>
      <c r="J291" s="4">
        <f t="shared" si="12"/>
        <v>-34563753.382</v>
      </c>
      <c r="K291" s="6">
        <f t="shared" si="13"/>
        <v>0</v>
      </c>
      <c r="L291" s="9">
        <f t="shared" si="14"/>
        <v>0</v>
      </c>
    </row>
    <row r="292" spans="1:12" ht="12.75">
      <c r="A292" s="14">
        <v>39163</v>
      </c>
      <c r="B292" s="47" t="s">
        <v>20</v>
      </c>
      <c r="D292" s="49">
        <v>-127200</v>
      </c>
      <c r="E292" s="17"/>
      <c r="F292" s="31"/>
      <c r="G292" s="31"/>
      <c r="H292" s="32"/>
      <c r="J292" s="4">
        <f t="shared" si="12"/>
        <v>-34690953.382</v>
      </c>
      <c r="K292" s="6">
        <f t="shared" si="13"/>
        <v>0</v>
      </c>
      <c r="L292" s="9">
        <f t="shared" si="14"/>
        <v>0</v>
      </c>
    </row>
    <row r="293" spans="1:12" ht="12.75">
      <c r="A293" s="14">
        <v>39163</v>
      </c>
      <c r="B293" s="47" t="s">
        <v>97</v>
      </c>
      <c r="D293" s="49">
        <v>-212000</v>
      </c>
      <c r="E293" s="17"/>
      <c r="F293" s="31"/>
      <c r="G293" s="31"/>
      <c r="H293" s="32"/>
      <c r="J293" s="4">
        <f t="shared" si="12"/>
        <v>-34902953.382</v>
      </c>
      <c r="K293" s="6">
        <f t="shared" si="13"/>
        <v>0</v>
      </c>
      <c r="L293" s="9">
        <f t="shared" si="14"/>
        <v>0</v>
      </c>
    </row>
    <row r="294" spans="1:12" ht="12.75">
      <c r="A294" s="14">
        <v>39163</v>
      </c>
      <c r="B294" s="47" t="s">
        <v>28</v>
      </c>
      <c r="D294" s="49">
        <v>-262500</v>
      </c>
      <c r="E294" s="17"/>
      <c r="F294" s="31"/>
      <c r="G294" s="31"/>
      <c r="H294" s="32"/>
      <c r="J294" s="4">
        <f t="shared" si="12"/>
        <v>-35165453.382</v>
      </c>
      <c r="K294" s="6">
        <f t="shared" si="13"/>
        <v>1</v>
      </c>
      <c r="L294" s="9">
        <f t="shared" si="14"/>
        <v>-19268.741579178084</v>
      </c>
    </row>
    <row r="295" spans="1:12" ht="12.75">
      <c r="A295" s="14">
        <v>39164</v>
      </c>
      <c r="B295" s="47" t="s">
        <v>20</v>
      </c>
      <c r="D295" s="49">
        <v>-37100</v>
      </c>
      <c r="E295" s="17"/>
      <c r="F295" s="31"/>
      <c r="G295" s="31"/>
      <c r="H295" s="32"/>
      <c r="J295" s="4">
        <f t="shared" si="12"/>
        <v>-35202553.382</v>
      </c>
      <c r="K295" s="6">
        <f t="shared" si="13"/>
        <v>0</v>
      </c>
      <c r="L295" s="9">
        <f t="shared" si="14"/>
        <v>0</v>
      </c>
    </row>
    <row r="296" spans="1:12" ht="12.75">
      <c r="A296" s="14">
        <v>39164</v>
      </c>
      <c r="B296" s="47" t="s">
        <v>21</v>
      </c>
      <c r="D296" s="49">
        <v>-5250</v>
      </c>
      <c r="E296" s="17"/>
      <c r="F296" s="31"/>
      <c r="G296" s="31"/>
      <c r="H296" s="32"/>
      <c r="J296" s="4">
        <f t="shared" si="12"/>
        <v>-35207803.382</v>
      </c>
      <c r="K296" s="6">
        <f t="shared" si="13"/>
        <v>3</v>
      </c>
      <c r="L296" s="9">
        <f t="shared" si="14"/>
        <v>-57875.84117589042</v>
      </c>
    </row>
    <row r="297" spans="1:12" ht="12.75">
      <c r="A297" s="14">
        <v>39167</v>
      </c>
      <c r="B297" s="47" t="s">
        <v>20</v>
      </c>
      <c r="D297" s="49">
        <v>-37100</v>
      </c>
      <c r="E297" s="17"/>
      <c r="F297" s="31"/>
      <c r="G297" s="31"/>
      <c r="H297" s="32"/>
      <c r="J297" s="4">
        <f t="shared" si="12"/>
        <v>-35244903.382</v>
      </c>
      <c r="K297" s="6">
        <f t="shared" si="13"/>
        <v>0</v>
      </c>
      <c r="L297" s="9">
        <f t="shared" si="14"/>
        <v>0</v>
      </c>
    </row>
    <row r="298" spans="1:12" ht="12.75">
      <c r="A298" s="14">
        <v>39167</v>
      </c>
      <c r="B298" s="47" t="s">
        <v>95</v>
      </c>
      <c r="D298" s="49">
        <v>-400000</v>
      </c>
      <c r="E298" s="17"/>
      <c r="F298" s="31"/>
      <c r="G298" s="31"/>
      <c r="H298" s="32"/>
      <c r="J298" s="4">
        <f t="shared" si="12"/>
        <v>-35644903.382</v>
      </c>
      <c r="K298" s="6">
        <f t="shared" si="13"/>
        <v>1</v>
      </c>
      <c r="L298" s="9">
        <f t="shared" si="14"/>
        <v>-19531.453907945208</v>
      </c>
    </row>
    <row r="299" spans="1:12" ht="12.75">
      <c r="A299" s="14">
        <v>39168</v>
      </c>
      <c r="B299" s="47" t="s">
        <v>28</v>
      </c>
      <c r="D299" s="49">
        <v>-210000</v>
      </c>
      <c r="E299" s="17"/>
      <c r="F299" s="31"/>
      <c r="G299" s="31"/>
      <c r="H299" s="32"/>
      <c r="J299" s="4">
        <f t="shared" si="12"/>
        <v>-35854903.382</v>
      </c>
      <c r="K299" s="6">
        <f t="shared" si="13"/>
        <v>0</v>
      </c>
      <c r="L299" s="9">
        <f t="shared" si="14"/>
        <v>0</v>
      </c>
    </row>
    <row r="300" spans="1:12" ht="12.75">
      <c r="A300" s="14">
        <v>39168</v>
      </c>
      <c r="B300" s="47" t="s">
        <v>36</v>
      </c>
      <c r="D300" s="49">
        <v>-4965.2295</v>
      </c>
      <c r="E300" s="17"/>
      <c r="F300" s="31"/>
      <c r="G300" s="31"/>
      <c r="H300" s="32"/>
      <c r="J300" s="4">
        <f t="shared" si="12"/>
        <v>-35859868.6115</v>
      </c>
      <c r="K300" s="6">
        <f t="shared" si="13"/>
        <v>0</v>
      </c>
      <c r="L300" s="9">
        <f t="shared" si="14"/>
        <v>0</v>
      </c>
    </row>
    <row r="301" spans="1:12" ht="12.75">
      <c r="A301" s="14">
        <v>39168</v>
      </c>
      <c r="B301" s="47" t="s">
        <v>20</v>
      </c>
      <c r="D301" s="49">
        <v>-106000</v>
      </c>
      <c r="E301" s="17"/>
      <c r="F301" s="31"/>
      <c r="G301" s="31"/>
      <c r="H301" s="32"/>
      <c r="J301" s="4">
        <f t="shared" si="12"/>
        <v>-35965868.6115</v>
      </c>
      <c r="K301" s="6">
        <f t="shared" si="13"/>
        <v>0</v>
      </c>
      <c r="L301" s="9">
        <f t="shared" si="14"/>
        <v>0</v>
      </c>
    </row>
    <row r="302" spans="1:12" ht="12.75">
      <c r="A302" s="14">
        <v>39168</v>
      </c>
      <c r="B302" s="47" t="s">
        <v>95</v>
      </c>
      <c r="D302" s="49">
        <v>-300000</v>
      </c>
      <c r="E302" s="17"/>
      <c r="F302" s="31"/>
      <c r="G302" s="31"/>
      <c r="H302" s="32"/>
      <c r="J302" s="4">
        <f t="shared" si="12"/>
        <v>-36265868.6115</v>
      </c>
      <c r="K302" s="6">
        <f t="shared" si="13"/>
        <v>1</v>
      </c>
      <c r="L302" s="9">
        <f t="shared" si="14"/>
        <v>-19871.70882821918</v>
      </c>
    </row>
    <row r="303" spans="1:12" ht="12.75">
      <c r="A303" s="14">
        <v>39169</v>
      </c>
      <c r="B303" s="47" t="s">
        <v>20</v>
      </c>
      <c r="D303" s="49">
        <v>-106000</v>
      </c>
      <c r="E303" s="17"/>
      <c r="F303" s="31"/>
      <c r="G303" s="31"/>
      <c r="H303" s="32"/>
      <c r="J303" s="4">
        <f t="shared" si="12"/>
        <v>-36371868.6115</v>
      </c>
      <c r="K303" s="6">
        <f t="shared" si="13"/>
        <v>0</v>
      </c>
      <c r="L303" s="9">
        <f t="shared" si="14"/>
        <v>0</v>
      </c>
    </row>
    <row r="304" spans="1:12" ht="12.75">
      <c r="A304" s="14">
        <v>39169</v>
      </c>
      <c r="B304" s="47" t="s">
        <v>45</v>
      </c>
      <c r="D304" s="49">
        <v>-500000</v>
      </c>
      <c r="E304" s="17"/>
      <c r="F304" s="31"/>
      <c r="G304" s="31"/>
      <c r="H304" s="32"/>
      <c r="J304" s="4">
        <f t="shared" si="12"/>
        <v>-36871868.6115</v>
      </c>
      <c r="K304" s="6">
        <f t="shared" si="13"/>
        <v>0</v>
      </c>
      <c r="L304" s="9">
        <f t="shared" si="14"/>
        <v>0</v>
      </c>
    </row>
    <row r="305" spans="1:12" ht="12.75">
      <c r="A305" s="14">
        <v>39169</v>
      </c>
      <c r="B305" s="47" t="s">
        <v>27</v>
      </c>
      <c r="D305" s="49">
        <v>-15260</v>
      </c>
      <c r="E305" s="17"/>
      <c r="F305" s="31"/>
      <c r="G305" s="31"/>
      <c r="H305" s="32"/>
      <c r="J305" s="4">
        <f t="shared" si="12"/>
        <v>-36887128.6115</v>
      </c>
      <c r="K305" s="6">
        <f t="shared" si="13"/>
        <v>1</v>
      </c>
      <c r="L305" s="9">
        <f t="shared" si="14"/>
        <v>-20212.125266575345</v>
      </c>
    </row>
    <row r="306" spans="1:12" ht="12.75">
      <c r="A306" s="14">
        <v>39170</v>
      </c>
      <c r="B306" s="47" t="s">
        <v>20</v>
      </c>
      <c r="D306" s="49">
        <v>-58300</v>
      </c>
      <c r="E306" s="17"/>
      <c r="F306" s="31"/>
      <c r="G306" s="31"/>
      <c r="H306" s="32"/>
      <c r="J306" s="4">
        <f t="shared" si="12"/>
        <v>-36945428.6115</v>
      </c>
      <c r="K306" s="6">
        <f t="shared" si="13"/>
        <v>0</v>
      </c>
      <c r="L306" s="9">
        <f t="shared" si="14"/>
        <v>0</v>
      </c>
    </row>
    <row r="307" spans="1:12" ht="12.75">
      <c r="A307" s="14">
        <v>39170</v>
      </c>
      <c r="B307" s="47" t="s">
        <v>27</v>
      </c>
      <c r="D307" s="49">
        <v>-101110</v>
      </c>
      <c r="E307" s="17"/>
      <c r="F307" s="31"/>
      <c r="G307" s="31"/>
      <c r="H307" s="32"/>
      <c r="J307" s="4">
        <f t="shared" si="12"/>
        <v>-37046538.6115</v>
      </c>
      <c r="K307" s="6">
        <f t="shared" si="13"/>
        <v>1</v>
      </c>
      <c r="L307" s="9">
        <f t="shared" si="14"/>
        <v>-20299.473211780823</v>
      </c>
    </row>
    <row r="308" spans="1:12" ht="12.75">
      <c r="A308" s="14">
        <v>39171</v>
      </c>
      <c r="B308" s="47" t="s">
        <v>20</v>
      </c>
      <c r="D308" s="49">
        <v>-312700</v>
      </c>
      <c r="E308" s="17"/>
      <c r="F308" s="31"/>
      <c r="G308" s="31"/>
      <c r="H308" s="32"/>
      <c r="J308" s="4">
        <f t="shared" si="12"/>
        <v>-37359238.6115</v>
      </c>
      <c r="K308" s="6">
        <f t="shared" si="13"/>
        <v>0</v>
      </c>
      <c r="L308" s="9">
        <f t="shared" si="14"/>
        <v>0</v>
      </c>
    </row>
    <row r="309" spans="1:12" ht="12.75">
      <c r="A309" s="14">
        <v>39171</v>
      </c>
      <c r="B309" s="47" t="s">
        <v>45</v>
      </c>
      <c r="D309" s="49">
        <v>-300000</v>
      </c>
      <c r="E309" s="17"/>
      <c r="F309" s="31"/>
      <c r="G309" s="31"/>
      <c r="H309" s="32"/>
      <c r="J309" s="4">
        <f t="shared" si="12"/>
        <v>-37659238.6115</v>
      </c>
      <c r="K309" s="6">
        <f t="shared" si="13"/>
        <v>1</v>
      </c>
      <c r="L309" s="9">
        <f t="shared" si="14"/>
        <v>-20635.199239178084</v>
      </c>
    </row>
    <row r="310" spans="1:12" ht="12.75">
      <c r="A310" s="23">
        <v>39172</v>
      </c>
      <c r="B310" s="30" t="s">
        <v>119</v>
      </c>
      <c r="C310" s="29">
        <f>4762020.93*0.8</f>
        <v>3809616.744</v>
      </c>
      <c r="D310" s="46"/>
      <c r="E310" s="17"/>
      <c r="F310" s="31"/>
      <c r="G310" s="31"/>
      <c r="H310" s="32"/>
      <c r="J310" s="4">
        <f t="shared" si="12"/>
        <v>-37659238.6115</v>
      </c>
      <c r="K310" s="6">
        <f t="shared" si="13"/>
        <v>0</v>
      </c>
      <c r="L310" s="9">
        <f t="shared" si="14"/>
        <v>0</v>
      </c>
    </row>
    <row r="311" spans="1:12" ht="12.75">
      <c r="A311" s="23">
        <v>39172</v>
      </c>
      <c r="B311" s="13" t="s">
        <v>32</v>
      </c>
      <c r="C311" s="17">
        <f>-C310</f>
        <v>-3809616.744</v>
      </c>
      <c r="D311" s="46"/>
      <c r="E311" s="17"/>
      <c r="F311" s="31"/>
      <c r="G311" s="31"/>
      <c r="H311" s="32">
        <f>-C311</f>
        <v>3809616.744</v>
      </c>
      <c r="J311" s="4">
        <f t="shared" si="12"/>
        <v>-33849621.8675</v>
      </c>
      <c r="K311" s="6">
        <f t="shared" si="13"/>
        <v>2</v>
      </c>
      <c r="L311" s="9">
        <f t="shared" si="14"/>
        <v>-37095.47601917809</v>
      </c>
    </row>
    <row r="312" spans="1:12" ht="12.75">
      <c r="A312" s="23">
        <v>39174</v>
      </c>
      <c r="B312" s="63" t="s">
        <v>112</v>
      </c>
      <c r="D312" s="15"/>
      <c r="E312" s="17"/>
      <c r="F312" s="31"/>
      <c r="G312" s="15">
        <v>95977.6</v>
      </c>
      <c r="H312" s="32"/>
      <c r="J312" s="4">
        <f t="shared" si="12"/>
        <v>-33753644.2675</v>
      </c>
      <c r="K312" s="6">
        <f t="shared" si="13"/>
        <v>0</v>
      </c>
      <c r="L312" s="9">
        <f t="shared" si="14"/>
        <v>0</v>
      </c>
    </row>
    <row r="313" spans="1:12" ht="12.75">
      <c r="A313" s="23">
        <v>39174</v>
      </c>
      <c r="B313" s="63" t="s">
        <v>36</v>
      </c>
      <c r="D313" s="15">
        <v>-145.43</v>
      </c>
      <c r="E313" s="17"/>
      <c r="F313" s="31"/>
      <c r="G313" s="15"/>
      <c r="H313" s="32"/>
      <c r="J313" s="4">
        <f t="shared" si="12"/>
        <v>-33753789.6975</v>
      </c>
      <c r="K313" s="6">
        <f t="shared" si="13"/>
        <v>0</v>
      </c>
      <c r="L313" s="9">
        <f t="shared" si="14"/>
        <v>0</v>
      </c>
    </row>
    <row r="314" spans="1:12" ht="12.75">
      <c r="A314" s="77">
        <v>39174</v>
      </c>
      <c r="B314" s="84" t="s">
        <v>191</v>
      </c>
      <c r="C314" s="62"/>
      <c r="D314" s="83">
        <v>0</v>
      </c>
      <c r="E314" s="78"/>
      <c r="F314" s="79"/>
      <c r="G314" s="79"/>
      <c r="H314" s="80"/>
      <c r="J314" s="4">
        <f t="shared" si="12"/>
        <v>-33753789.6975</v>
      </c>
      <c r="K314" s="6">
        <f t="shared" si="13"/>
        <v>0</v>
      </c>
      <c r="L314" s="9">
        <f t="shared" si="14"/>
        <v>0</v>
      </c>
    </row>
    <row r="315" spans="1:12" ht="12.75">
      <c r="A315" s="23">
        <v>39174</v>
      </c>
      <c r="B315" s="63" t="s">
        <v>63</v>
      </c>
      <c r="D315" s="15">
        <v>-300000</v>
      </c>
      <c r="E315" s="17"/>
      <c r="F315" s="31"/>
      <c r="G315" s="31"/>
      <c r="H315" s="32"/>
      <c r="J315" s="4">
        <f t="shared" si="12"/>
        <v>-34053789.6975</v>
      </c>
      <c r="K315" s="6">
        <f t="shared" si="13"/>
        <v>0</v>
      </c>
      <c r="L315" s="9">
        <f t="shared" si="14"/>
        <v>0</v>
      </c>
    </row>
    <row r="316" spans="1:12" ht="12.75">
      <c r="A316" s="23">
        <v>39174</v>
      </c>
      <c r="B316" s="63" t="s">
        <v>111</v>
      </c>
      <c r="D316" s="15">
        <v>-25650</v>
      </c>
      <c r="E316" s="17"/>
      <c r="F316" s="31"/>
      <c r="G316" s="31"/>
      <c r="H316" s="32"/>
      <c r="J316" s="4">
        <f t="shared" si="12"/>
        <v>-34079439.6975</v>
      </c>
      <c r="K316" s="6">
        <f t="shared" si="13"/>
        <v>0</v>
      </c>
      <c r="L316" s="9">
        <f t="shared" si="14"/>
        <v>0</v>
      </c>
    </row>
    <row r="317" spans="1:12" ht="12.75">
      <c r="A317" s="23">
        <v>39174</v>
      </c>
      <c r="B317" s="63" t="s">
        <v>45</v>
      </c>
      <c r="D317" s="15">
        <v>-200000</v>
      </c>
      <c r="E317" s="17"/>
      <c r="F317" s="31"/>
      <c r="G317" s="31"/>
      <c r="H317" s="32"/>
      <c r="J317" s="4">
        <f t="shared" si="12"/>
        <v>-34279439.6975</v>
      </c>
      <c r="K317" s="6">
        <f t="shared" si="13"/>
        <v>1</v>
      </c>
      <c r="L317" s="9">
        <f t="shared" si="14"/>
        <v>-18783.254628767125</v>
      </c>
    </row>
    <row r="318" spans="1:12" ht="12.75">
      <c r="A318" s="23">
        <v>39175</v>
      </c>
      <c r="B318" s="63" t="s">
        <v>20</v>
      </c>
      <c r="D318" s="15">
        <v>-157940</v>
      </c>
      <c r="E318" s="17"/>
      <c r="F318" s="31"/>
      <c r="G318" s="31"/>
      <c r="H318" s="32"/>
      <c r="J318" s="4">
        <f t="shared" si="12"/>
        <v>-34437379.6975</v>
      </c>
      <c r="K318" s="6">
        <f t="shared" si="13"/>
        <v>1</v>
      </c>
      <c r="L318" s="9">
        <f t="shared" si="14"/>
        <v>-18869.79709452055</v>
      </c>
    </row>
    <row r="319" spans="1:12" ht="12.75">
      <c r="A319" s="23">
        <v>39176</v>
      </c>
      <c r="B319" s="63" t="s">
        <v>21</v>
      </c>
      <c r="D319" s="15">
        <v>-105000</v>
      </c>
      <c r="E319" s="17"/>
      <c r="F319" s="31"/>
      <c r="G319" s="31"/>
      <c r="H319" s="32"/>
      <c r="J319" s="4">
        <f t="shared" si="12"/>
        <v>-34542379.6975</v>
      </c>
      <c r="K319" s="6">
        <f t="shared" si="13"/>
        <v>0</v>
      </c>
      <c r="L319" s="9">
        <f t="shared" si="14"/>
        <v>0</v>
      </c>
    </row>
    <row r="320" spans="1:12" ht="12.75">
      <c r="A320" s="23">
        <v>39176</v>
      </c>
      <c r="B320" s="63" t="s">
        <v>20</v>
      </c>
      <c r="D320" s="15">
        <v>-234260</v>
      </c>
      <c r="E320" s="17"/>
      <c r="F320" s="31"/>
      <c r="G320" s="31"/>
      <c r="H320" s="32"/>
      <c r="J320" s="4">
        <f t="shared" si="12"/>
        <v>-34776639.6975</v>
      </c>
      <c r="K320" s="6">
        <f t="shared" si="13"/>
        <v>0</v>
      </c>
      <c r="L320" s="9">
        <f t="shared" si="14"/>
        <v>0</v>
      </c>
    </row>
    <row r="321" spans="1:12" ht="12.75">
      <c r="A321" s="23">
        <v>39176</v>
      </c>
      <c r="B321" s="63" t="s">
        <v>28</v>
      </c>
      <c r="D321" s="15">
        <v>-105000</v>
      </c>
      <c r="E321" s="17"/>
      <c r="F321" s="31"/>
      <c r="G321" s="31"/>
      <c r="H321" s="32"/>
      <c r="J321" s="4">
        <f t="shared" si="12"/>
        <v>-34881639.6975</v>
      </c>
      <c r="K321" s="6">
        <f t="shared" si="13"/>
        <v>1</v>
      </c>
      <c r="L321" s="9">
        <f t="shared" si="14"/>
        <v>-19113.22723150685</v>
      </c>
    </row>
    <row r="322" spans="1:12" ht="12.75">
      <c r="A322" s="23">
        <v>39177</v>
      </c>
      <c r="B322" s="63" t="s">
        <v>20</v>
      </c>
      <c r="D322" s="15">
        <v>-42400</v>
      </c>
      <c r="E322" s="17"/>
      <c r="F322" s="31"/>
      <c r="G322" s="31"/>
      <c r="H322" s="32"/>
      <c r="J322" s="4">
        <f t="shared" si="12"/>
        <v>-34924039.6975</v>
      </c>
      <c r="K322" s="6">
        <f t="shared" si="13"/>
        <v>0</v>
      </c>
      <c r="L322" s="9">
        <f t="shared" si="14"/>
        <v>0</v>
      </c>
    </row>
    <row r="323" spans="1:12" ht="12.75">
      <c r="A323" s="23">
        <v>39177</v>
      </c>
      <c r="B323" s="63" t="s">
        <v>28</v>
      </c>
      <c r="D323" s="15">
        <v>-52500</v>
      </c>
      <c r="E323" s="17"/>
      <c r="F323" s="31"/>
      <c r="G323" s="31"/>
      <c r="H323" s="32"/>
      <c r="J323" s="4">
        <f t="shared" si="12"/>
        <v>-34976539.6975</v>
      </c>
      <c r="K323" s="6">
        <f t="shared" si="13"/>
        <v>0</v>
      </c>
      <c r="L323" s="9">
        <f t="shared" si="14"/>
        <v>0</v>
      </c>
    </row>
    <row r="324" spans="1:12" ht="12.75">
      <c r="A324" s="23">
        <v>39177</v>
      </c>
      <c r="B324" s="63" t="s">
        <v>27</v>
      </c>
      <c r="D324" s="15">
        <v>-50610</v>
      </c>
      <c r="E324" s="17"/>
      <c r="F324" s="31"/>
      <c r="G324" s="31"/>
      <c r="H324" s="32"/>
      <c r="J324" s="4">
        <f t="shared" si="12"/>
        <v>-35027149.6975</v>
      </c>
      <c r="K324" s="6">
        <f t="shared" si="13"/>
        <v>1</v>
      </c>
      <c r="L324" s="9">
        <f t="shared" si="14"/>
        <v>-19192.958738356167</v>
      </c>
    </row>
    <row r="325" spans="1:12" ht="12.75">
      <c r="A325" s="23">
        <v>39178</v>
      </c>
      <c r="B325" s="63" t="s">
        <v>65</v>
      </c>
      <c r="D325" s="15">
        <v>-50000</v>
      </c>
      <c r="E325" s="17"/>
      <c r="F325" s="31"/>
      <c r="G325" s="31"/>
      <c r="H325" s="32"/>
      <c r="J325" s="4">
        <f aca="true" t="shared" si="15" ref="J325:J388">J324+D325+E325+F325+G325+H325+I325</f>
        <v>-35077149.6975</v>
      </c>
      <c r="K325" s="6">
        <f aca="true" t="shared" si="16" ref="K325:K388">DATEDIF(A325,A326,"d")</f>
        <v>0</v>
      </c>
      <c r="L325" s="9">
        <f aca="true" t="shared" si="17" ref="L325:L388">J325*K325*0.2/365</f>
        <v>0</v>
      </c>
    </row>
    <row r="326" spans="1:12" ht="12.75">
      <c r="A326" s="14">
        <v>39178</v>
      </c>
      <c r="B326" s="47" t="s">
        <v>95</v>
      </c>
      <c r="D326" s="49">
        <v>-103100</v>
      </c>
      <c r="E326" s="17"/>
      <c r="F326" s="31"/>
      <c r="G326" s="31"/>
      <c r="H326" s="32"/>
      <c r="J326" s="4">
        <f t="shared" si="15"/>
        <v>-35180249.6975</v>
      </c>
      <c r="K326" s="6">
        <f t="shared" si="16"/>
        <v>0</v>
      </c>
      <c r="L326" s="9">
        <f t="shared" si="17"/>
        <v>0</v>
      </c>
    </row>
    <row r="327" spans="1:12" ht="12.75">
      <c r="A327" s="14">
        <v>39178</v>
      </c>
      <c r="B327" s="47" t="s">
        <v>20</v>
      </c>
      <c r="D327" s="49">
        <v>-37100</v>
      </c>
      <c r="E327" s="17"/>
      <c r="F327" s="31"/>
      <c r="G327" s="31"/>
      <c r="H327" s="32"/>
      <c r="J327" s="4">
        <f t="shared" si="15"/>
        <v>-35217349.6975</v>
      </c>
      <c r="K327" s="6">
        <f t="shared" si="16"/>
        <v>0</v>
      </c>
      <c r="L327" s="9">
        <f t="shared" si="17"/>
        <v>0</v>
      </c>
    </row>
    <row r="328" spans="1:12" ht="12.75">
      <c r="A328" s="14">
        <v>39178</v>
      </c>
      <c r="B328" s="47" t="s">
        <v>113</v>
      </c>
      <c r="D328" s="49">
        <v>-260000</v>
      </c>
      <c r="E328" s="17"/>
      <c r="F328" s="31"/>
      <c r="G328" s="31"/>
      <c r="H328" s="32"/>
      <c r="J328" s="4">
        <f t="shared" si="15"/>
        <v>-35477349.6975</v>
      </c>
      <c r="K328" s="6">
        <f t="shared" si="16"/>
        <v>3</v>
      </c>
      <c r="L328" s="9">
        <f t="shared" si="17"/>
        <v>-58318.93100958905</v>
      </c>
    </row>
    <row r="329" spans="1:12" ht="12.75">
      <c r="A329" s="14">
        <v>39181</v>
      </c>
      <c r="B329" s="47" t="s">
        <v>27</v>
      </c>
      <c r="D329" s="48">
        <v>-6675</v>
      </c>
      <c r="E329" s="17"/>
      <c r="F329" s="31"/>
      <c r="G329" s="31"/>
      <c r="H329" s="32"/>
      <c r="J329" s="4">
        <f t="shared" si="15"/>
        <v>-35484024.6975</v>
      </c>
      <c r="K329" s="6">
        <f t="shared" si="16"/>
        <v>0</v>
      </c>
      <c r="L329" s="9">
        <f t="shared" si="17"/>
        <v>0</v>
      </c>
    </row>
    <row r="330" spans="1:12" ht="12.75">
      <c r="A330" s="14">
        <v>39181</v>
      </c>
      <c r="B330" s="47" t="s">
        <v>114</v>
      </c>
      <c r="D330" s="48">
        <v>-66000</v>
      </c>
      <c r="E330" s="17"/>
      <c r="F330" s="31"/>
      <c r="G330" s="31"/>
      <c r="H330" s="32"/>
      <c r="J330" s="4">
        <f t="shared" si="15"/>
        <v>-35550024.6975</v>
      </c>
      <c r="K330" s="6">
        <f t="shared" si="16"/>
        <v>1</v>
      </c>
      <c r="L330" s="9">
        <f t="shared" si="17"/>
        <v>-19479.465587671235</v>
      </c>
    </row>
    <row r="331" spans="1:12" ht="12.75">
      <c r="A331" s="14">
        <v>39182</v>
      </c>
      <c r="B331" s="47" t="s">
        <v>20</v>
      </c>
      <c r="D331" s="48">
        <v>-159000</v>
      </c>
      <c r="E331" s="17"/>
      <c r="F331" s="31"/>
      <c r="G331" s="31"/>
      <c r="H331" s="32"/>
      <c r="J331" s="4">
        <f t="shared" si="15"/>
        <v>-35709024.6975</v>
      </c>
      <c r="K331" s="6">
        <f t="shared" si="16"/>
        <v>0</v>
      </c>
      <c r="L331" s="9">
        <f t="shared" si="17"/>
        <v>0</v>
      </c>
    </row>
    <row r="332" spans="1:12" ht="12.75">
      <c r="A332" s="14">
        <v>39182</v>
      </c>
      <c r="B332" s="47" t="s">
        <v>21</v>
      </c>
      <c r="D332" s="48">
        <v>-21000</v>
      </c>
      <c r="E332" s="17"/>
      <c r="F332" s="31"/>
      <c r="G332" s="31"/>
      <c r="H332" s="32"/>
      <c r="J332" s="4">
        <f t="shared" si="15"/>
        <v>-35730024.6975</v>
      </c>
      <c r="K332" s="6">
        <f t="shared" si="16"/>
        <v>0</v>
      </c>
      <c r="L332" s="9">
        <f t="shared" si="17"/>
        <v>0</v>
      </c>
    </row>
    <row r="333" spans="1:12" ht="12.75">
      <c r="A333" s="14">
        <v>39182</v>
      </c>
      <c r="B333" s="47" t="s">
        <v>115</v>
      </c>
      <c r="D333" s="48">
        <v>-52500</v>
      </c>
      <c r="E333" s="17"/>
      <c r="F333" s="31"/>
      <c r="G333" s="31"/>
      <c r="H333" s="32"/>
      <c r="J333" s="4">
        <f t="shared" si="15"/>
        <v>-35782524.6975</v>
      </c>
      <c r="K333" s="6">
        <f t="shared" si="16"/>
        <v>1</v>
      </c>
      <c r="L333" s="9">
        <f t="shared" si="17"/>
        <v>-19606.862847945205</v>
      </c>
    </row>
    <row r="334" spans="1:12" ht="12.75">
      <c r="A334" s="14">
        <v>39183</v>
      </c>
      <c r="B334" s="47" t="s">
        <v>21</v>
      </c>
      <c r="D334" s="48">
        <v>-42000</v>
      </c>
      <c r="E334" s="17"/>
      <c r="F334" s="31"/>
      <c r="G334" s="31"/>
      <c r="H334" s="32"/>
      <c r="J334" s="4">
        <f t="shared" si="15"/>
        <v>-35824524.6975</v>
      </c>
      <c r="K334" s="6">
        <f t="shared" si="16"/>
        <v>1</v>
      </c>
      <c r="L334" s="9">
        <f t="shared" si="17"/>
        <v>-19629.876546575342</v>
      </c>
    </row>
    <row r="335" spans="1:12" ht="12.75">
      <c r="A335" s="14">
        <v>39184</v>
      </c>
      <c r="B335" s="47" t="s">
        <v>20</v>
      </c>
      <c r="D335" s="48">
        <v>-127200</v>
      </c>
      <c r="E335" s="17"/>
      <c r="F335" s="31"/>
      <c r="G335" s="31"/>
      <c r="H335" s="32"/>
      <c r="J335" s="4">
        <f t="shared" si="15"/>
        <v>-35951724.6975</v>
      </c>
      <c r="K335" s="6">
        <f t="shared" si="16"/>
        <v>0</v>
      </c>
      <c r="L335" s="9">
        <f t="shared" si="17"/>
        <v>0</v>
      </c>
    </row>
    <row r="336" spans="1:12" ht="12.75">
      <c r="A336" s="14">
        <v>39184</v>
      </c>
      <c r="B336" s="47" t="s">
        <v>116</v>
      </c>
      <c r="D336" s="48">
        <v>-53000</v>
      </c>
      <c r="E336" s="17"/>
      <c r="F336" s="31"/>
      <c r="G336" s="31"/>
      <c r="H336" s="32"/>
      <c r="J336" s="4">
        <f t="shared" si="15"/>
        <v>-36004724.6975</v>
      </c>
      <c r="K336" s="6">
        <f t="shared" si="16"/>
        <v>0</v>
      </c>
      <c r="L336" s="9">
        <f t="shared" si="17"/>
        <v>0</v>
      </c>
    </row>
    <row r="337" spans="1:12" ht="12.75">
      <c r="A337" s="14">
        <v>39184</v>
      </c>
      <c r="B337" s="47" t="s">
        <v>95</v>
      </c>
      <c r="D337" s="48">
        <v>-999000</v>
      </c>
      <c r="E337" s="17"/>
      <c r="F337" s="31"/>
      <c r="G337" s="31"/>
      <c r="H337" s="32"/>
      <c r="J337" s="4">
        <f t="shared" si="15"/>
        <v>-37003724.6975</v>
      </c>
      <c r="K337" s="6">
        <f t="shared" si="16"/>
        <v>0</v>
      </c>
      <c r="L337" s="9">
        <f t="shared" si="17"/>
        <v>0</v>
      </c>
    </row>
    <row r="338" spans="1:12" ht="12.75">
      <c r="A338" s="14">
        <v>39184</v>
      </c>
      <c r="B338" s="47" t="s">
        <v>95</v>
      </c>
      <c r="D338" s="48">
        <v>-998000</v>
      </c>
      <c r="E338" s="17"/>
      <c r="F338" s="31"/>
      <c r="G338" s="31"/>
      <c r="H338" s="32"/>
      <c r="J338" s="4">
        <f t="shared" si="15"/>
        <v>-38001724.6975</v>
      </c>
      <c r="K338" s="6">
        <f t="shared" si="16"/>
        <v>0</v>
      </c>
      <c r="L338" s="9">
        <f t="shared" si="17"/>
        <v>0</v>
      </c>
    </row>
    <row r="339" spans="1:12" ht="12.75">
      <c r="A339" s="14">
        <v>39184</v>
      </c>
      <c r="B339" s="47" t="s">
        <v>95</v>
      </c>
      <c r="D339" s="48">
        <v>-503000</v>
      </c>
      <c r="E339" s="17"/>
      <c r="F339" s="31"/>
      <c r="G339" s="31"/>
      <c r="H339" s="32"/>
      <c r="J339" s="4">
        <f t="shared" si="15"/>
        <v>-38504724.6975</v>
      </c>
      <c r="K339" s="6">
        <f t="shared" si="16"/>
        <v>0</v>
      </c>
      <c r="L339" s="9">
        <f t="shared" si="17"/>
        <v>0</v>
      </c>
    </row>
    <row r="340" spans="1:12" ht="12.75">
      <c r="A340" s="14">
        <v>39184</v>
      </c>
      <c r="B340" s="47" t="s">
        <v>35</v>
      </c>
      <c r="D340" s="49">
        <v>-1000000</v>
      </c>
      <c r="E340" s="17"/>
      <c r="F340" s="31"/>
      <c r="G340" s="31"/>
      <c r="H340" s="32"/>
      <c r="J340" s="4">
        <f t="shared" si="15"/>
        <v>-39504724.6975</v>
      </c>
      <c r="K340" s="6">
        <f t="shared" si="16"/>
        <v>1</v>
      </c>
      <c r="L340" s="9">
        <f t="shared" si="17"/>
        <v>-21646.424491780825</v>
      </c>
    </row>
    <row r="341" spans="1:12" ht="12.75">
      <c r="A341" s="14">
        <v>39185</v>
      </c>
      <c r="B341" s="47" t="s">
        <v>30</v>
      </c>
      <c r="D341" s="49"/>
      <c r="E341" s="17"/>
      <c r="F341" s="31"/>
      <c r="G341" s="49">
        <v>-4004</v>
      </c>
      <c r="H341" s="32"/>
      <c r="J341" s="4">
        <f t="shared" si="15"/>
        <v>-39508728.6975</v>
      </c>
      <c r="K341" s="6">
        <f t="shared" si="16"/>
        <v>0</v>
      </c>
      <c r="L341" s="9">
        <f t="shared" si="17"/>
        <v>0</v>
      </c>
    </row>
    <row r="342" spans="1:12" ht="12.75">
      <c r="A342" s="14">
        <v>39185</v>
      </c>
      <c r="B342" s="47" t="s">
        <v>30</v>
      </c>
      <c r="D342" s="49"/>
      <c r="E342" s="17"/>
      <c r="F342" s="31"/>
      <c r="G342" s="49">
        <v>-33960.35</v>
      </c>
      <c r="H342" s="32"/>
      <c r="J342" s="4">
        <f t="shared" si="15"/>
        <v>-39542689.0475</v>
      </c>
      <c r="K342" s="6">
        <f t="shared" si="16"/>
        <v>0</v>
      </c>
      <c r="L342" s="9">
        <f t="shared" si="17"/>
        <v>0</v>
      </c>
    </row>
    <row r="343" spans="1:12" ht="12.75">
      <c r="A343" s="14">
        <v>39185</v>
      </c>
      <c r="B343" s="57" t="s">
        <v>55</v>
      </c>
      <c r="D343" s="49"/>
      <c r="E343" s="17"/>
      <c r="F343" s="31"/>
      <c r="H343" s="75">
        <v>-335000</v>
      </c>
      <c r="J343" s="4">
        <f t="shared" si="15"/>
        <v>-39877689.0475</v>
      </c>
      <c r="K343" s="6">
        <f t="shared" si="16"/>
        <v>0</v>
      </c>
      <c r="L343" s="9">
        <f t="shared" si="17"/>
        <v>0</v>
      </c>
    </row>
    <row r="344" spans="1:12" ht="12.75">
      <c r="A344" s="14">
        <v>39185</v>
      </c>
      <c r="B344" s="47" t="s">
        <v>117</v>
      </c>
      <c r="D344" s="48">
        <v>-700000</v>
      </c>
      <c r="E344" s="17"/>
      <c r="F344" s="31"/>
      <c r="G344" s="31"/>
      <c r="H344" s="32"/>
      <c r="J344" s="4">
        <f t="shared" si="15"/>
        <v>-40577689.0475</v>
      </c>
      <c r="K344" s="6">
        <f t="shared" si="16"/>
        <v>0</v>
      </c>
      <c r="L344" s="9">
        <f t="shared" si="17"/>
        <v>0</v>
      </c>
    </row>
    <row r="345" spans="1:12" ht="12.75">
      <c r="A345" s="14">
        <v>39185</v>
      </c>
      <c r="B345" s="47" t="s">
        <v>27</v>
      </c>
      <c r="D345" s="48">
        <v>-53640</v>
      </c>
      <c r="E345" s="17"/>
      <c r="F345" s="31"/>
      <c r="G345" s="31"/>
      <c r="H345" s="32"/>
      <c r="J345" s="4">
        <f t="shared" si="15"/>
        <v>-40631329.0475</v>
      </c>
      <c r="K345" s="6">
        <f t="shared" si="16"/>
        <v>0</v>
      </c>
      <c r="L345" s="9">
        <f t="shared" si="17"/>
        <v>0</v>
      </c>
    </row>
    <row r="346" spans="1:12" ht="12.75">
      <c r="A346" s="14">
        <v>39185</v>
      </c>
      <c r="B346" s="47" t="s">
        <v>20</v>
      </c>
      <c r="D346" s="48">
        <v>-159000</v>
      </c>
      <c r="E346" s="17"/>
      <c r="F346" s="31"/>
      <c r="G346" s="31"/>
      <c r="H346" s="32"/>
      <c r="J346" s="4">
        <f t="shared" si="15"/>
        <v>-40790329.0475</v>
      </c>
      <c r="K346" s="6">
        <f t="shared" si="16"/>
        <v>0</v>
      </c>
      <c r="L346" s="9">
        <f t="shared" si="17"/>
        <v>0</v>
      </c>
    </row>
    <row r="347" spans="1:12" ht="12.75">
      <c r="A347" s="14">
        <v>39185</v>
      </c>
      <c r="B347" s="47" t="s">
        <v>20</v>
      </c>
      <c r="D347" s="48">
        <v>-17490</v>
      </c>
      <c r="E347" s="17"/>
      <c r="F347" s="31"/>
      <c r="G347" s="31"/>
      <c r="H347" s="32"/>
      <c r="J347" s="4">
        <f t="shared" si="15"/>
        <v>-40807819.0475</v>
      </c>
      <c r="K347" s="6">
        <f t="shared" si="16"/>
        <v>0</v>
      </c>
      <c r="L347" s="9">
        <f t="shared" si="17"/>
        <v>0</v>
      </c>
    </row>
    <row r="348" spans="1:12" ht="12.75">
      <c r="A348" s="14">
        <v>39185</v>
      </c>
      <c r="B348" s="47" t="s">
        <v>7</v>
      </c>
      <c r="D348" s="33"/>
      <c r="E348" s="17">
        <v>-84817.5</v>
      </c>
      <c r="F348" s="31"/>
      <c r="G348" s="31"/>
      <c r="H348" s="32"/>
      <c r="J348" s="4">
        <f t="shared" si="15"/>
        <v>-40892636.5475</v>
      </c>
      <c r="K348" s="6">
        <f t="shared" si="16"/>
        <v>0</v>
      </c>
      <c r="L348" s="9">
        <f t="shared" si="17"/>
        <v>0</v>
      </c>
    </row>
    <row r="349" spans="1:12" ht="12.75">
      <c r="A349" s="14">
        <v>39185</v>
      </c>
      <c r="B349" s="47" t="s">
        <v>7</v>
      </c>
      <c r="D349" s="33"/>
      <c r="E349" s="17">
        <v>-58050</v>
      </c>
      <c r="F349" s="31"/>
      <c r="G349" s="31"/>
      <c r="H349" s="32"/>
      <c r="J349" s="4">
        <f t="shared" si="15"/>
        <v>-40950686.5475</v>
      </c>
      <c r="K349" s="6">
        <f t="shared" si="16"/>
        <v>1</v>
      </c>
      <c r="L349" s="9">
        <f t="shared" si="17"/>
        <v>-22438.732354794523</v>
      </c>
    </row>
    <row r="350" spans="1:12" ht="12.75">
      <c r="A350" s="14">
        <v>39186</v>
      </c>
      <c r="B350" s="47" t="s">
        <v>7</v>
      </c>
      <c r="D350" s="33"/>
      <c r="E350" s="17">
        <v>-135450</v>
      </c>
      <c r="F350" s="31"/>
      <c r="G350" s="31"/>
      <c r="H350" s="32"/>
      <c r="J350" s="4">
        <f t="shared" si="15"/>
        <v>-41086136.5475</v>
      </c>
      <c r="K350" s="6">
        <f t="shared" si="16"/>
        <v>0</v>
      </c>
      <c r="L350" s="9">
        <f t="shared" si="17"/>
        <v>0</v>
      </c>
    </row>
    <row r="351" spans="1:12" ht="12.75">
      <c r="A351" s="14">
        <v>39186</v>
      </c>
      <c r="B351" s="47" t="s">
        <v>7</v>
      </c>
      <c r="D351" s="33"/>
      <c r="E351" s="17">
        <v>-50955</v>
      </c>
      <c r="F351" s="31"/>
      <c r="G351" s="31"/>
      <c r="H351" s="32"/>
      <c r="J351" s="4">
        <f t="shared" si="15"/>
        <v>-41137091.5475</v>
      </c>
      <c r="K351" s="6">
        <f t="shared" si="16"/>
        <v>0</v>
      </c>
      <c r="L351" s="9">
        <f t="shared" si="17"/>
        <v>0</v>
      </c>
    </row>
    <row r="352" spans="1:12" ht="12.75">
      <c r="A352" s="14">
        <v>39186</v>
      </c>
      <c r="B352" s="47" t="s">
        <v>7</v>
      </c>
      <c r="D352" s="33"/>
      <c r="E352" s="17">
        <v>-83850</v>
      </c>
      <c r="F352" s="31"/>
      <c r="G352" s="31"/>
      <c r="H352" s="32"/>
      <c r="J352" s="4">
        <f t="shared" si="15"/>
        <v>-41220941.5475</v>
      </c>
      <c r="K352" s="6">
        <f t="shared" si="16"/>
        <v>0</v>
      </c>
      <c r="L352" s="9">
        <f t="shared" si="17"/>
        <v>0</v>
      </c>
    </row>
    <row r="353" spans="1:12" ht="12.75">
      <c r="A353" s="14">
        <v>39186</v>
      </c>
      <c r="B353" s="47" t="s">
        <v>7</v>
      </c>
      <c r="D353" s="33"/>
      <c r="E353" s="17">
        <v>-67273.5</v>
      </c>
      <c r="F353" s="31"/>
      <c r="G353" s="31"/>
      <c r="H353" s="32"/>
      <c r="J353" s="4">
        <f t="shared" si="15"/>
        <v>-41288215.0475</v>
      </c>
      <c r="K353" s="6">
        <f t="shared" si="16"/>
        <v>1</v>
      </c>
      <c r="L353" s="9">
        <f t="shared" si="17"/>
        <v>-22623.679478082195</v>
      </c>
    </row>
    <row r="354" spans="1:12" ht="12.75">
      <c r="A354" s="14">
        <v>39187</v>
      </c>
      <c r="B354" s="47" t="s">
        <v>7</v>
      </c>
      <c r="D354" s="33"/>
      <c r="E354" s="17">
        <v>-62565</v>
      </c>
      <c r="F354" s="31"/>
      <c r="G354" s="31"/>
      <c r="H354" s="32"/>
      <c r="J354" s="4">
        <f t="shared" si="15"/>
        <v>-41350780.0475</v>
      </c>
      <c r="K354" s="6">
        <f t="shared" si="16"/>
        <v>0</v>
      </c>
      <c r="L354" s="9">
        <f t="shared" si="17"/>
        <v>0</v>
      </c>
    </row>
    <row r="355" spans="1:12" ht="12.75">
      <c r="A355" s="14">
        <v>39187</v>
      </c>
      <c r="B355" s="47" t="s">
        <v>7</v>
      </c>
      <c r="D355" s="33"/>
      <c r="E355" s="17">
        <v>-43860</v>
      </c>
      <c r="F355" s="31"/>
      <c r="G355" s="31"/>
      <c r="H355" s="32"/>
      <c r="J355" s="4">
        <f t="shared" si="15"/>
        <v>-41394640.0475</v>
      </c>
      <c r="K355" s="6">
        <f t="shared" si="16"/>
        <v>0</v>
      </c>
      <c r="L355" s="9">
        <f t="shared" si="17"/>
        <v>0</v>
      </c>
    </row>
    <row r="356" spans="1:12" ht="12.75">
      <c r="A356" s="14">
        <v>39187</v>
      </c>
      <c r="B356" s="47" t="s">
        <v>7</v>
      </c>
      <c r="D356" s="33"/>
      <c r="E356" s="17">
        <v>-19350</v>
      </c>
      <c r="F356" s="31"/>
      <c r="G356" s="31"/>
      <c r="H356" s="32"/>
      <c r="J356" s="4">
        <f t="shared" si="15"/>
        <v>-41413990.0475</v>
      </c>
      <c r="K356" s="6">
        <f t="shared" si="16"/>
        <v>1</v>
      </c>
      <c r="L356" s="9">
        <f t="shared" si="17"/>
        <v>-22692.59728630137</v>
      </c>
    </row>
    <row r="357" spans="1:12" ht="12.75">
      <c r="A357" s="14">
        <v>39188</v>
      </c>
      <c r="B357" s="47" t="s">
        <v>22</v>
      </c>
      <c r="D357" s="48">
        <v>66000</v>
      </c>
      <c r="E357" s="17"/>
      <c r="F357" s="31"/>
      <c r="G357" s="31"/>
      <c r="H357" s="32"/>
      <c r="J357" s="4">
        <f t="shared" si="15"/>
        <v>-41347990.0475</v>
      </c>
      <c r="K357" s="6">
        <f t="shared" si="16"/>
        <v>0</v>
      </c>
      <c r="L357" s="9">
        <f t="shared" si="17"/>
        <v>0</v>
      </c>
    </row>
    <row r="358" spans="1:12" ht="12.75">
      <c r="A358" s="14">
        <v>39188</v>
      </c>
      <c r="B358" s="47" t="s">
        <v>20</v>
      </c>
      <c r="D358" s="48">
        <v>-56710</v>
      </c>
      <c r="E358" s="17"/>
      <c r="F358" s="31"/>
      <c r="G358" s="31"/>
      <c r="H358" s="32"/>
      <c r="J358" s="4">
        <f t="shared" si="15"/>
        <v>-41404700.0475</v>
      </c>
      <c r="K358" s="6">
        <f t="shared" si="16"/>
        <v>1</v>
      </c>
      <c r="L358" s="9">
        <f t="shared" si="17"/>
        <v>-22687.506875342468</v>
      </c>
    </row>
    <row r="359" spans="1:12" ht="12.75">
      <c r="A359" s="14">
        <v>39189</v>
      </c>
      <c r="B359" s="47" t="s">
        <v>27</v>
      </c>
      <c r="D359" s="48">
        <v>-146560</v>
      </c>
      <c r="E359" s="17"/>
      <c r="F359" s="31"/>
      <c r="G359" s="31"/>
      <c r="H359" s="32"/>
      <c r="J359" s="4">
        <f t="shared" si="15"/>
        <v>-41551260.0475</v>
      </c>
      <c r="K359" s="6">
        <f t="shared" si="16"/>
        <v>0</v>
      </c>
      <c r="L359" s="9">
        <f t="shared" si="17"/>
        <v>0</v>
      </c>
    </row>
    <row r="360" spans="1:12" ht="12.75">
      <c r="A360" s="14">
        <v>39189</v>
      </c>
      <c r="B360" s="47" t="s">
        <v>95</v>
      </c>
      <c r="D360" s="48">
        <v>-135500</v>
      </c>
      <c r="E360" s="17"/>
      <c r="F360" s="31"/>
      <c r="G360" s="31"/>
      <c r="H360" s="32"/>
      <c r="J360" s="4">
        <f t="shared" si="15"/>
        <v>-41686760.0475</v>
      </c>
      <c r="K360" s="6">
        <f t="shared" si="16"/>
        <v>0</v>
      </c>
      <c r="L360" s="9">
        <f t="shared" si="17"/>
        <v>0</v>
      </c>
    </row>
    <row r="361" spans="1:12" ht="12.75">
      <c r="A361" s="14">
        <v>39189</v>
      </c>
      <c r="B361" s="47" t="s">
        <v>20</v>
      </c>
      <c r="D361" s="48">
        <v>-137800</v>
      </c>
      <c r="E361" s="17"/>
      <c r="F361" s="31"/>
      <c r="G361" s="31"/>
      <c r="H361" s="32"/>
      <c r="J361" s="4">
        <f t="shared" si="15"/>
        <v>-41824560.0475</v>
      </c>
      <c r="K361" s="6">
        <f t="shared" si="16"/>
        <v>0</v>
      </c>
      <c r="L361" s="9">
        <f t="shared" si="17"/>
        <v>0</v>
      </c>
    </row>
    <row r="362" spans="1:12" ht="12.75">
      <c r="A362" s="14">
        <v>39189</v>
      </c>
      <c r="B362" s="47" t="s">
        <v>118</v>
      </c>
      <c r="D362" s="48">
        <v>-200000</v>
      </c>
      <c r="E362" s="17"/>
      <c r="F362" s="31"/>
      <c r="G362" s="31"/>
      <c r="H362" s="32"/>
      <c r="J362" s="4">
        <f t="shared" si="15"/>
        <v>-42024560.0475</v>
      </c>
      <c r="K362" s="6">
        <f t="shared" si="16"/>
        <v>0</v>
      </c>
      <c r="L362" s="9">
        <f t="shared" si="17"/>
        <v>0</v>
      </c>
    </row>
    <row r="363" spans="1:12" ht="12.75">
      <c r="A363" s="14">
        <v>39189</v>
      </c>
      <c r="B363" s="47" t="s">
        <v>28</v>
      </c>
      <c r="D363" s="48">
        <v>-210000</v>
      </c>
      <c r="E363" s="17"/>
      <c r="F363" s="31"/>
      <c r="G363" s="31"/>
      <c r="H363" s="32"/>
      <c r="J363" s="4">
        <f t="shared" si="15"/>
        <v>-42234560.0475</v>
      </c>
      <c r="K363" s="6">
        <f t="shared" si="16"/>
        <v>1</v>
      </c>
      <c r="L363" s="9">
        <f t="shared" si="17"/>
        <v>-23142.224683561646</v>
      </c>
    </row>
    <row r="364" spans="1:12" ht="12.75">
      <c r="A364" s="14">
        <v>39190</v>
      </c>
      <c r="B364" s="47" t="s">
        <v>95</v>
      </c>
      <c r="D364" s="48">
        <v>-1020000</v>
      </c>
      <c r="E364" s="17"/>
      <c r="F364" s="31"/>
      <c r="G364" s="31"/>
      <c r="H364" s="32"/>
      <c r="J364" s="4">
        <f t="shared" si="15"/>
        <v>-43254560.0475</v>
      </c>
      <c r="K364" s="6">
        <f t="shared" si="16"/>
        <v>0</v>
      </c>
      <c r="L364" s="9">
        <f t="shared" si="17"/>
        <v>0</v>
      </c>
    </row>
    <row r="365" spans="1:12" ht="12.75">
      <c r="A365" s="14">
        <v>39190</v>
      </c>
      <c r="B365" s="47" t="s">
        <v>20</v>
      </c>
      <c r="D365" s="48">
        <v>-233200</v>
      </c>
      <c r="E365" s="17"/>
      <c r="F365" s="31"/>
      <c r="G365" s="31"/>
      <c r="H365" s="32"/>
      <c r="J365" s="4">
        <f t="shared" si="15"/>
        <v>-43487760.0475</v>
      </c>
      <c r="K365" s="6">
        <f t="shared" si="16"/>
        <v>0</v>
      </c>
      <c r="L365" s="9">
        <f t="shared" si="17"/>
        <v>0</v>
      </c>
    </row>
    <row r="366" spans="1:12" ht="12.75">
      <c r="A366" s="14">
        <v>39190</v>
      </c>
      <c r="B366" s="47" t="s">
        <v>21</v>
      </c>
      <c r="D366" s="48">
        <v>-105000</v>
      </c>
      <c r="E366" s="17"/>
      <c r="F366" s="31"/>
      <c r="G366" s="31"/>
      <c r="H366" s="32"/>
      <c r="J366" s="4">
        <f t="shared" si="15"/>
        <v>-43592760.0475</v>
      </c>
      <c r="K366" s="6">
        <f t="shared" si="16"/>
        <v>0</v>
      </c>
      <c r="L366" s="9">
        <f t="shared" si="17"/>
        <v>0</v>
      </c>
    </row>
    <row r="367" spans="1:12" ht="12.75">
      <c r="A367" s="14">
        <v>39190</v>
      </c>
      <c r="B367" s="47" t="s">
        <v>97</v>
      </c>
      <c r="D367" s="48">
        <v>-212000</v>
      </c>
      <c r="E367" s="17"/>
      <c r="F367" s="31"/>
      <c r="G367" s="31"/>
      <c r="H367" s="32"/>
      <c r="J367" s="4">
        <f t="shared" si="15"/>
        <v>-43804760.0475</v>
      </c>
      <c r="K367" s="6">
        <f t="shared" si="16"/>
        <v>0</v>
      </c>
      <c r="L367" s="9">
        <f t="shared" si="17"/>
        <v>0</v>
      </c>
    </row>
    <row r="368" spans="1:12" ht="12.75">
      <c r="A368" s="14">
        <v>39190</v>
      </c>
      <c r="B368" s="47" t="s">
        <v>28</v>
      </c>
      <c r="D368" s="49">
        <v>-52500</v>
      </c>
      <c r="E368" s="17"/>
      <c r="F368" s="31"/>
      <c r="G368" s="31"/>
      <c r="H368" s="32"/>
      <c r="J368" s="4">
        <f t="shared" si="15"/>
        <v>-43857260.0475</v>
      </c>
      <c r="K368" s="6">
        <f t="shared" si="16"/>
        <v>0</v>
      </c>
      <c r="L368" s="9">
        <f t="shared" si="17"/>
        <v>0</v>
      </c>
    </row>
    <row r="369" spans="1:12" ht="12.75">
      <c r="A369" s="14">
        <v>39190</v>
      </c>
      <c r="B369" s="30" t="s">
        <v>125</v>
      </c>
      <c r="C369" s="29">
        <f>550695.35*0.8</f>
        <v>440556.28</v>
      </c>
      <c r="D369" s="46"/>
      <c r="E369" s="17"/>
      <c r="F369" s="31"/>
      <c r="G369" s="31"/>
      <c r="H369" s="32"/>
      <c r="J369" s="4">
        <f t="shared" si="15"/>
        <v>-43857260.0475</v>
      </c>
      <c r="K369" s="6">
        <f t="shared" si="16"/>
        <v>0</v>
      </c>
      <c r="L369" s="9">
        <f t="shared" si="17"/>
        <v>0</v>
      </c>
    </row>
    <row r="370" spans="1:12" ht="12.75">
      <c r="A370" s="14">
        <v>39190</v>
      </c>
      <c r="B370" s="13" t="s">
        <v>32</v>
      </c>
      <c r="C370" s="17">
        <f>-C369</f>
        <v>-440556.28</v>
      </c>
      <c r="D370" s="46"/>
      <c r="E370" s="17"/>
      <c r="F370" s="31"/>
      <c r="G370" s="31"/>
      <c r="H370" s="32">
        <f>-C370</f>
        <v>440556.28</v>
      </c>
      <c r="J370" s="4">
        <f t="shared" si="15"/>
        <v>-43416703.7675</v>
      </c>
      <c r="K370" s="6">
        <f t="shared" si="16"/>
        <v>1</v>
      </c>
      <c r="L370" s="9">
        <f t="shared" si="17"/>
        <v>-23789.974667123286</v>
      </c>
    </row>
    <row r="371" spans="1:12" ht="12.75">
      <c r="A371" s="14">
        <v>39191</v>
      </c>
      <c r="B371" s="30" t="s">
        <v>131</v>
      </c>
      <c r="C371" s="29">
        <f>1588227.05*0.8</f>
        <v>1270581.6400000001</v>
      </c>
      <c r="D371" s="46"/>
      <c r="E371" s="17"/>
      <c r="F371" s="31"/>
      <c r="G371" s="31"/>
      <c r="H371" s="32"/>
      <c r="J371" s="4">
        <f t="shared" si="15"/>
        <v>-43416703.7675</v>
      </c>
      <c r="K371" s="6">
        <f t="shared" si="16"/>
        <v>0</v>
      </c>
      <c r="L371" s="9">
        <f t="shared" si="17"/>
        <v>0</v>
      </c>
    </row>
    <row r="372" spans="1:12" ht="12.75">
      <c r="A372" s="14">
        <v>39191</v>
      </c>
      <c r="B372" s="13" t="s">
        <v>32</v>
      </c>
      <c r="C372" s="17">
        <f>-C371</f>
        <v>-1270581.6400000001</v>
      </c>
      <c r="D372" s="46"/>
      <c r="E372" s="17"/>
      <c r="F372" s="31"/>
      <c r="G372" s="31"/>
      <c r="H372" s="32">
        <f>-C372</f>
        <v>1270581.6400000001</v>
      </c>
      <c r="J372" s="4">
        <f t="shared" si="15"/>
        <v>-42146122.1275</v>
      </c>
      <c r="K372" s="6">
        <f t="shared" si="16"/>
        <v>0</v>
      </c>
      <c r="L372" s="9">
        <f t="shared" si="17"/>
        <v>0</v>
      </c>
    </row>
    <row r="373" spans="1:12" ht="12.75">
      <c r="A373" s="14">
        <v>39191</v>
      </c>
      <c r="B373" s="30" t="s">
        <v>134</v>
      </c>
      <c r="C373" s="29">
        <f>4798316.8*0.8</f>
        <v>3838653.44</v>
      </c>
      <c r="D373" s="46"/>
      <c r="E373" s="17"/>
      <c r="F373" s="31"/>
      <c r="G373" s="31"/>
      <c r="H373" s="32"/>
      <c r="J373" s="4">
        <f t="shared" si="15"/>
        <v>-42146122.1275</v>
      </c>
      <c r="K373" s="6">
        <f t="shared" si="16"/>
        <v>0</v>
      </c>
      <c r="L373" s="9">
        <f t="shared" si="17"/>
        <v>0</v>
      </c>
    </row>
    <row r="374" spans="1:12" ht="12.75">
      <c r="A374" s="14">
        <v>39191</v>
      </c>
      <c r="B374" s="13" t="s">
        <v>32</v>
      </c>
      <c r="C374" s="17">
        <f>-C373</f>
        <v>-3838653.44</v>
      </c>
      <c r="D374" s="46"/>
      <c r="E374" s="17"/>
      <c r="F374" s="31"/>
      <c r="G374" s="31"/>
      <c r="H374" s="32">
        <f>-C374</f>
        <v>3838653.44</v>
      </c>
      <c r="J374" s="4">
        <f t="shared" si="15"/>
        <v>-38307468.6875</v>
      </c>
      <c r="K374" s="6">
        <f t="shared" si="16"/>
        <v>0</v>
      </c>
      <c r="L374" s="9">
        <f t="shared" si="17"/>
        <v>0</v>
      </c>
    </row>
    <row r="375" spans="1:12" ht="12.75">
      <c r="A375" s="14">
        <v>39191</v>
      </c>
      <c r="B375" s="47" t="s">
        <v>121</v>
      </c>
      <c r="D375" s="49">
        <v>-200000</v>
      </c>
      <c r="E375" s="17"/>
      <c r="F375" s="31"/>
      <c r="G375" s="31"/>
      <c r="H375" s="32"/>
      <c r="J375" s="4">
        <f t="shared" si="15"/>
        <v>-38507468.6875</v>
      </c>
      <c r="K375" s="6">
        <f t="shared" si="16"/>
        <v>1</v>
      </c>
      <c r="L375" s="9">
        <f t="shared" si="17"/>
        <v>-21099.982842465757</v>
      </c>
    </row>
    <row r="376" spans="1:12" ht="12.75">
      <c r="A376" s="14">
        <v>39192</v>
      </c>
      <c r="B376" s="47" t="s">
        <v>37</v>
      </c>
      <c r="D376" s="49"/>
      <c r="E376" s="17"/>
      <c r="F376" s="31"/>
      <c r="G376" s="49">
        <v>-3050</v>
      </c>
      <c r="H376" s="32"/>
      <c r="J376" s="4">
        <f t="shared" si="15"/>
        <v>-38510518.6875</v>
      </c>
      <c r="K376" s="6">
        <f t="shared" si="16"/>
        <v>0</v>
      </c>
      <c r="L376" s="9">
        <f t="shared" si="17"/>
        <v>0</v>
      </c>
    </row>
    <row r="377" spans="1:12" ht="12.75">
      <c r="A377" s="14">
        <v>39192</v>
      </c>
      <c r="B377" s="47" t="s">
        <v>45</v>
      </c>
      <c r="D377" s="48">
        <v>-1000000</v>
      </c>
      <c r="E377" s="17"/>
      <c r="F377" s="31"/>
      <c r="G377" s="31"/>
      <c r="H377" s="32"/>
      <c r="J377" s="4">
        <f t="shared" si="15"/>
        <v>-39510518.6875</v>
      </c>
      <c r="K377" s="6">
        <f t="shared" si="16"/>
        <v>0</v>
      </c>
      <c r="L377" s="9">
        <f t="shared" si="17"/>
        <v>0</v>
      </c>
    </row>
    <row r="378" spans="1:12" ht="12.75">
      <c r="A378" s="14">
        <v>39192</v>
      </c>
      <c r="B378" s="47" t="s">
        <v>40</v>
      </c>
      <c r="D378" s="48">
        <v>-100000</v>
      </c>
      <c r="E378" s="17"/>
      <c r="F378" s="31"/>
      <c r="G378" s="31"/>
      <c r="H378" s="32"/>
      <c r="J378" s="4">
        <f t="shared" si="15"/>
        <v>-39610518.6875</v>
      </c>
      <c r="K378" s="6">
        <f t="shared" si="16"/>
        <v>0</v>
      </c>
      <c r="L378" s="9">
        <f t="shared" si="17"/>
        <v>0</v>
      </c>
    </row>
    <row r="379" spans="1:12" ht="12.75">
      <c r="A379" s="14">
        <v>39192</v>
      </c>
      <c r="B379" s="47" t="s">
        <v>45</v>
      </c>
      <c r="D379" s="48">
        <v>-500000</v>
      </c>
      <c r="E379" s="17"/>
      <c r="F379" s="31"/>
      <c r="G379" s="31"/>
      <c r="H379" s="32"/>
      <c r="J379" s="4">
        <f t="shared" si="15"/>
        <v>-40110518.6875</v>
      </c>
      <c r="K379" s="6">
        <f t="shared" si="16"/>
        <v>0</v>
      </c>
      <c r="L379" s="9">
        <f t="shared" si="17"/>
        <v>0</v>
      </c>
    </row>
    <row r="380" spans="1:12" ht="12.75">
      <c r="A380" s="14">
        <v>39192</v>
      </c>
      <c r="B380" s="47" t="s">
        <v>20</v>
      </c>
      <c r="D380" s="48">
        <v>-31800</v>
      </c>
      <c r="E380" s="17"/>
      <c r="F380" s="31"/>
      <c r="G380" s="31"/>
      <c r="H380" s="32"/>
      <c r="J380" s="4">
        <f t="shared" si="15"/>
        <v>-40142318.6875</v>
      </c>
      <c r="K380" s="6">
        <f t="shared" si="16"/>
        <v>0</v>
      </c>
      <c r="L380" s="9">
        <f t="shared" si="17"/>
        <v>0</v>
      </c>
    </row>
    <row r="381" spans="1:12" ht="12.75">
      <c r="A381" s="14">
        <v>39192</v>
      </c>
      <c r="B381" s="47" t="s">
        <v>21</v>
      </c>
      <c r="D381" s="48">
        <v>-158550</v>
      </c>
      <c r="E381" s="17"/>
      <c r="F381" s="31"/>
      <c r="G381" s="31"/>
      <c r="H381" s="32"/>
      <c r="J381" s="4">
        <f t="shared" si="15"/>
        <v>-40300868.6875</v>
      </c>
      <c r="K381" s="6">
        <f t="shared" si="16"/>
        <v>0</v>
      </c>
      <c r="L381" s="9">
        <f t="shared" si="17"/>
        <v>0</v>
      </c>
    </row>
    <row r="382" spans="1:12" ht="12.75">
      <c r="A382" s="14">
        <v>39192</v>
      </c>
      <c r="B382" s="47" t="s">
        <v>7</v>
      </c>
      <c r="D382" s="33"/>
      <c r="E382" s="17">
        <v>-72208.5</v>
      </c>
      <c r="F382" s="31"/>
      <c r="G382" s="31"/>
      <c r="H382" s="32"/>
      <c r="J382" s="4">
        <f t="shared" si="15"/>
        <v>-40373077.1875</v>
      </c>
      <c r="K382" s="6">
        <f t="shared" si="16"/>
        <v>2</v>
      </c>
      <c r="L382" s="9">
        <f t="shared" si="17"/>
        <v>-44244.46815068493</v>
      </c>
    </row>
    <row r="383" spans="1:12" ht="12.75">
      <c r="A383" s="14">
        <v>39194</v>
      </c>
      <c r="B383" s="47" t="s">
        <v>7</v>
      </c>
      <c r="D383" s="33"/>
      <c r="E383" s="17">
        <v>-58500</v>
      </c>
      <c r="F383" s="31"/>
      <c r="G383" s="31"/>
      <c r="H383" s="32"/>
      <c r="J383" s="4">
        <f t="shared" si="15"/>
        <v>-40431577.1875</v>
      </c>
      <c r="K383" s="6">
        <f t="shared" si="16"/>
        <v>1</v>
      </c>
      <c r="L383" s="9">
        <f t="shared" si="17"/>
        <v>-22154.288869863012</v>
      </c>
    </row>
    <row r="384" spans="1:12" ht="12.75">
      <c r="A384" s="14">
        <v>39195</v>
      </c>
      <c r="B384" s="47" t="s">
        <v>20</v>
      </c>
      <c r="D384" s="48">
        <v>-148188</v>
      </c>
      <c r="E384" s="17"/>
      <c r="F384" s="31"/>
      <c r="G384" s="31"/>
      <c r="H384" s="32"/>
      <c r="J384" s="4">
        <f t="shared" si="15"/>
        <v>-40579765.1875</v>
      </c>
      <c r="K384" s="6">
        <f t="shared" si="16"/>
        <v>0</v>
      </c>
      <c r="L384" s="9">
        <f t="shared" si="17"/>
        <v>0</v>
      </c>
    </row>
    <row r="385" spans="1:12" ht="12.75">
      <c r="A385" s="14">
        <v>39195</v>
      </c>
      <c r="B385" s="47" t="s">
        <v>120</v>
      </c>
      <c r="D385" s="48">
        <v>-100000</v>
      </c>
      <c r="E385" s="17"/>
      <c r="F385" s="31"/>
      <c r="G385" s="31"/>
      <c r="H385" s="32"/>
      <c r="J385" s="4">
        <f t="shared" si="15"/>
        <v>-40679765.1875</v>
      </c>
      <c r="K385" s="6">
        <f t="shared" si="16"/>
        <v>0</v>
      </c>
      <c r="L385" s="9">
        <f t="shared" si="17"/>
        <v>0</v>
      </c>
    </row>
    <row r="386" spans="1:12" ht="12.75">
      <c r="A386" s="14">
        <v>39195</v>
      </c>
      <c r="B386" s="47" t="s">
        <v>95</v>
      </c>
      <c r="D386" s="48">
        <v>-100000</v>
      </c>
      <c r="E386" s="17"/>
      <c r="F386" s="31"/>
      <c r="G386" s="31"/>
      <c r="H386" s="32"/>
      <c r="J386" s="4">
        <f t="shared" si="15"/>
        <v>-40779765.1875</v>
      </c>
      <c r="K386" s="6">
        <f t="shared" si="16"/>
        <v>0</v>
      </c>
      <c r="L386" s="9">
        <f t="shared" si="17"/>
        <v>0</v>
      </c>
    </row>
    <row r="387" spans="1:12" ht="12.75">
      <c r="A387" s="14">
        <v>39195</v>
      </c>
      <c r="B387" s="47" t="s">
        <v>121</v>
      </c>
      <c r="D387" s="48">
        <v>-250000</v>
      </c>
      <c r="E387" s="17"/>
      <c r="F387" s="31"/>
      <c r="G387" s="31"/>
      <c r="H387" s="32"/>
      <c r="J387" s="4">
        <f t="shared" si="15"/>
        <v>-41029765.1875</v>
      </c>
      <c r="K387" s="6">
        <f t="shared" si="16"/>
        <v>1</v>
      </c>
      <c r="L387" s="9">
        <f t="shared" si="17"/>
        <v>-22482.06311643836</v>
      </c>
    </row>
    <row r="388" spans="1:12" ht="12.75">
      <c r="A388" s="14">
        <v>39196</v>
      </c>
      <c r="B388" s="47" t="s">
        <v>20</v>
      </c>
      <c r="D388" s="48">
        <v>-10812</v>
      </c>
      <c r="E388" s="17"/>
      <c r="F388" s="31"/>
      <c r="G388" s="31"/>
      <c r="H388" s="32"/>
      <c r="J388" s="4">
        <f t="shared" si="15"/>
        <v>-41040577.1875</v>
      </c>
      <c r="K388" s="6">
        <f t="shared" si="16"/>
        <v>0</v>
      </c>
      <c r="L388" s="9">
        <f t="shared" si="17"/>
        <v>0</v>
      </c>
    </row>
    <row r="389" spans="1:12" ht="12.75">
      <c r="A389" s="14">
        <v>39196</v>
      </c>
      <c r="B389" s="47" t="s">
        <v>95</v>
      </c>
      <c r="D389" s="48">
        <v>-250000</v>
      </c>
      <c r="E389" s="17"/>
      <c r="F389" s="31"/>
      <c r="G389" s="31"/>
      <c r="H389" s="32"/>
      <c r="J389" s="4">
        <f aca="true" t="shared" si="18" ref="J389:J429">J388+D389+E389+F389+G389+H389+I389</f>
        <v>-41290577.1875</v>
      </c>
      <c r="K389" s="6">
        <f aca="true" t="shared" si="19" ref="K389:K429">DATEDIF(A389,A390,"d")</f>
        <v>0</v>
      </c>
      <c r="L389" s="9">
        <f aca="true" t="shared" si="20" ref="L389:L429">J389*K389*0.2/365</f>
        <v>0</v>
      </c>
    </row>
    <row r="390" spans="1:12" ht="12.75">
      <c r="A390" s="14">
        <v>39196</v>
      </c>
      <c r="B390" s="47" t="s">
        <v>120</v>
      </c>
      <c r="D390" s="48">
        <v>-100000</v>
      </c>
      <c r="E390" s="17"/>
      <c r="F390" s="31"/>
      <c r="G390" s="31"/>
      <c r="H390" s="32"/>
      <c r="J390" s="4">
        <f t="shared" si="18"/>
        <v>-41390577.1875</v>
      </c>
      <c r="K390" s="6">
        <f t="shared" si="19"/>
        <v>0</v>
      </c>
      <c r="L390" s="9">
        <f t="shared" si="20"/>
        <v>0</v>
      </c>
    </row>
    <row r="391" spans="1:12" ht="12.75">
      <c r="A391" s="14">
        <v>39196</v>
      </c>
      <c r="B391" s="47" t="s">
        <v>95</v>
      </c>
      <c r="D391" s="48">
        <v>-150000</v>
      </c>
      <c r="E391" s="17"/>
      <c r="F391" s="31"/>
      <c r="G391" s="31"/>
      <c r="H391" s="32"/>
      <c r="J391" s="4">
        <f t="shared" si="18"/>
        <v>-41540577.1875</v>
      </c>
      <c r="K391" s="6">
        <f t="shared" si="19"/>
        <v>0</v>
      </c>
      <c r="L391" s="9">
        <f t="shared" si="20"/>
        <v>0</v>
      </c>
    </row>
    <row r="392" spans="1:12" ht="12.75">
      <c r="A392" s="14">
        <v>39196</v>
      </c>
      <c r="B392" s="47" t="s">
        <v>122</v>
      </c>
      <c r="D392" s="48">
        <v>-8700</v>
      </c>
      <c r="E392" s="17"/>
      <c r="F392" s="31"/>
      <c r="G392" s="31"/>
      <c r="H392" s="32"/>
      <c r="J392" s="4">
        <f t="shared" si="18"/>
        <v>-41549277.1875</v>
      </c>
      <c r="K392" s="6">
        <f t="shared" si="19"/>
        <v>1</v>
      </c>
      <c r="L392" s="9">
        <f t="shared" si="20"/>
        <v>-22766.727226027397</v>
      </c>
    </row>
    <row r="393" spans="1:12" ht="12.75">
      <c r="A393" s="14">
        <v>39197</v>
      </c>
      <c r="B393" s="47" t="s">
        <v>37</v>
      </c>
      <c r="D393" s="48">
        <v>-55660</v>
      </c>
      <c r="E393" s="17"/>
      <c r="F393" s="31"/>
      <c r="G393" s="31"/>
      <c r="H393" s="32"/>
      <c r="J393" s="4">
        <f t="shared" si="18"/>
        <v>-41604937.1875</v>
      </c>
      <c r="K393" s="6">
        <f t="shared" si="19"/>
        <v>0</v>
      </c>
      <c r="L393" s="9">
        <f t="shared" si="20"/>
        <v>0</v>
      </c>
    </row>
    <row r="394" spans="1:12" ht="12.75">
      <c r="A394" s="14">
        <v>39197</v>
      </c>
      <c r="B394" s="47" t="s">
        <v>123</v>
      </c>
      <c r="D394" s="48">
        <v>-300000</v>
      </c>
      <c r="E394" s="17"/>
      <c r="F394" s="31"/>
      <c r="G394" s="31"/>
      <c r="H394" s="32"/>
      <c r="J394" s="4">
        <f t="shared" si="18"/>
        <v>-41904937.1875</v>
      </c>
      <c r="K394" s="6">
        <f t="shared" si="19"/>
        <v>0</v>
      </c>
      <c r="L394" s="9">
        <f t="shared" si="20"/>
        <v>0</v>
      </c>
    </row>
    <row r="395" spans="1:12" ht="12.75">
      <c r="A395" s="14">
        <v>39197</v>
      </c>
      <c r="B395" s="47" t="s">
        <v>21</v>
      </c>
      <c r="D395" s="48">
        <v>-168000</v>
      </c>
      <c r="E395" s="17"/>
      <c r="F395" s="31"/>
      <c r="G395" s="31"/>
      <c r="H395" s="32"/>
      <c r="J395" s="4">
        <f t="shared" si="18"/>
        <v>-42072937.1875</v>
      </c>
      <c r="K395" s="6">
        <f t="shared" si="19"/>
        <v>0</v>
      </c>
      <c r="L395" s="9">
        <f t="shared" si="20"/>
        <v>0</v>
      </c>
    </row>
    <row r="396" spans="1:12" ht="12.75">
      <c r="A396" s="14">
        <v>39197</v>
      </c>
      <c r="B396" s="47" t="s">
        <v>28</v>
      </c>
      <c r="D396" s="48">
        <v>-367500</v>
      </c>
      <c r="E396" s="17"/>
      <c r="F396" s="31"/>
      <c r="G396" s="31"/>
      <c r="H396" s="32"/>
      <c r="J396" s="4">
        <f t="shared" si="18"/>
        <v>-42440437.1875</v>
      </c>
      <c r="K396" s="6">
        <f t="shared" si="19"/>
        <v>1</v>
      </c>
      <c r="L396" s="9">
        <f t="shared" si="20"/>
        <v>-23255.034075342464</v>
      </c>
    </row>
    <row r="397" spans="1:12" ht="12.75">
      <c r="A397" s="14">
        <v>39198</v>
      </c>
      <c r="B397" s="47" t="s">
        <v>21</v>
      </c>
      <c r="D397" s="48">
        <v>-36750</v>
      </c>
      <c r="E397" s="17"/>
      <c r="F397" s="31"/>
      <c r="G397" s="31"/>
      <c r="H397" s="32"/>
      <c r="J397" s="4">
        <f t="shared" si="18"/>
        <v>-42477187.1875</v>
      </c>
      <c r="K397" s="6">
        <f t="shared" si="19"/>
        <v>0</v>
      </c>
      <c r="L397" s="9">
        <f t="shared" si="20"/>
        <v>0</v>
      </c>
    </row>
    <row r="398" spans="1:12" ht="12.75">
      <c r="A398" s="14">
        <v>39198</v>
      </c>
      <c r="B398" s="47" t="s">
        <v>20</v>
      </c>
      <c r="D398" s="48">
        <v>-106000</v>
      </c>
      <c r="E398" s="17"/>
      <c r="F398" s="31"/>
      <c r="G398" s="31"/>
      <c r="H398" s="32"/>
      <c r="J398" s="4">
        <f t="shared" si="18"/>
        <v>-42583187.1875</v>
      </c>
      <c r="K398" s="6">
        <f t="shared" si="19"/>
        <v>1</v>
      </c>
      <c r="L398" s="9">
        <f t="shared" si="20"/>
        <v>-23333.253253424657</v>
      </c>
    </row>
    <row r="399" spans="1:12" ht="12.75">
      <c r="A399" s="14">
        <v>39199</v>
      </c>
      <c r="B399" s="47" t="s">
        <v>20</v>
      </c>
      <c r="D399" s="49">
        <v>-111300</v>
      </c>
      <c r="E399" s="17"/>
      <c r="F399" s="31"/>
      <c r="G399" s="31"/>
      <c r="H399" s="32"/>
      <c r="J399" s="4">
        <f t="shared" si="18"/>
        <v>-42694487.1875</v>
      </c>
      <c r="K399" s="6">
        <f t="shared" si="19"/>
        <v>0</v>
      </c>
      <c r="L399" s="9">
        <f t="shared" si="20"/>
        <v>0</v>
      </c>
    </row>
    <row r="400" spans="1:12" ht="12.75">
      <c r="A400" s="14">
        <v>39199</v>
      </c>
      <c r="B400" s="47" t="s">
        <v>95</v>
      </c>
      <c r="D400" s="49">
        <v>-28000</v>
      </c>
      <c r="E400" s="17"/>
      <c r="F400" s="31"/>
      <c r="G400" s="31"/>
      <c r="H400" s="32"/>
      <c r="J400" s="4">
        <f t="shared" si="18"/>
        <v>-42722487.1875</v>
      </c>
      <c r="K400" s="6">
        <f t="shared" si="19"/>
        <v>0</v>
      </c>
      <c r="L400" s="9">
        <f t="shared" si="20"/>
        <v>0</v>
      </c>
    </row>
    <row r="401" spans="1:12" ht="12.75">
      <c r="A401" s="14">
        <v>39199</v>
      </c>
      <c r="B401" s="47" t="s">
        <v>7</v>
      </c>
      <c r="D401" s="33"/>
      <c r="E401" s="17">
        <v>-19500</v>
      </c>
      <c r="F401" s="31"/>
      <c r="G401" s="31"/>
      <c r="H401" s="32"/>
      <c r="J401" s="4">
        <f t="shared" si="18"/>
        <v>-42741987.1875</v>
      </c>
      <c r="K401" s="6">
        <f t="shared" si="19"/>
        <v>0</v>
      </c>
      <c r="L401" s="9">
        <f t="shared" si="20"/>
        <v>0</v>
      </c>
    </row>
    <row r="402" spans="1:12" ht="12.75">
      <c r="A402" s="14">
        <v>39199</v>
      </c>
      <c r="B402" s="47" t="s">
        <v>7</v>
      </c>
      <c r="D402" s="33"/>
      <c r="E402" s="17">
        <v>-71500</v>
      </c>
      <c r="F402" s="31"/>
      <c r="G402" s="31"/>
      <c r="H402" s="32"/>
      <c r="J402" s="4">
        <f t="shared" si="18"/>
        <v>-42813487.1875</v>
      </c>
      <c r="K402" s="6">
        <f t="shared" si="19"/>
        <v>0</v>
      </c>
      <c r="L402" s="9">
        <f t="shared" si="20"/>
        <v>0</v>
      </c>
    </row>
    <row r="403" spans="1:12" ht="12.75">
      <c r="A403" s="14">
        <v>39199</v>
      </c>
      <c r="B403" s="47" t="s">
        <v>7</v>
      </c>
      <c r="D403" s="33"/>
      <c r="E403" s="17">
        <v>-87636.9</v>
      </c>
      <c r="F403" s="31"/>
      <c r="G403" s="31"/>
      <c r="H403" s="32"/>
      <c r="J403" s="4">
        <f t="shared" si="18"/>
        <v>-42901124.0875</v>
      </c>
      <c r="K403" s="6">
        <f t="shared" si="19"/>
        <v>2</v>
      </c>
      <c r="L403" s="9">
        <f t="shared" si="20"/>
        <v>-47014.93050684932</v>
      </c>
    </row>
    <row r="404" spans="1:12" ht="12.75">
      <c r="A404" s="14">
        <v>39201</v>
      </c>
      <c r="B404" s="47" t="s">
        <v>7</v>
      </c>
      <c r="D404" s="33"/>
      <c r="E404" s="17">
        <v>-91000</v>
      </c>
      <c r="F404" s="31"/>
      <c r="G404" s="31"/>
      <c r="H404" s="32"/>
      <c r="J404" s="4">
        <f t="shared" si="18"/>
        <v>-42992124.0875</v>
      </c>
      <c r="K404" s="6">
        <f t="shared" si="19"/>
        <v>1</v>
      </c>
      <c r="L404" s="9">
        <f t="shared" si="20"/>
        <v>-23557.32826712329</v>
      </c>
    </row>
    <row r="405" spans="1:12" ht="12.75">
      <c r="A405" s="14">
        <v>39202</v>
      </c>
      <c r="B405" s="47" t="s">
        <v>127</v>
      </c>
      <c r="D405" s="48">
        <v>-90000</v>
      </c>
      <c r="E405" s="17"/>
      <c r="F405" s="31"/>
      <c r="G405" s="31"/>
      <c r="H405" s="32"/>
      <c r="J405" s="4">
        <f t="shared" si="18"/>
        <v>-43082124.0875</v>
      </c>
      <c r="K405" s="6">
        <f t="shared" si="19"/>
        <v>1</v>
      </c>
      <c r="L405" s="9">
        <f t="shared" si="20"/>
        <v>-23606.64333561644</v>
      </c>
    </row>
    <row r="406" spans="1:12" ht="12.75">
      <c r="A406" s="14">
        <v>39203</v>
      </c>
      <c r="B406" s="47" t="s">
        <v>45</v>
      </c>
      <c r="D406" s="48">
        <v>-500000</v>
      </c>
      <c r="E406" s="17"/>
      <c r="F406" s="31"/>
      <c r="G406" s="31"/>
      <c r="H406" s="32"/>
      <c r="J406" s="4">
        <f t="shared" si="18"/>
        <v>-43582124.0875</v>
      </c>
      <c r="K406" s="6">
        <f t="shared" si="19"/>
        <v>0</v>
      </c>
      <c r="L406" s="9">
        <f t="shared" si="20"/>
        <v>0</v>
      </c>
    </row>
    <row r="407" spans="1:12" ht="12.75">
      <c r="A407" s="14">
        <v>39203</v>
      </c>
      <c r="B407" s="47" t="s">
        <v>27</v>
      </c>
      <c r="D407" s="48">
        <v>-3140</v>
      </c>
      <c r="E407" s="17"/>
      <c r="F407" s="31"/>
      <c r="G407" s="31"/>
      <c r="H407" s="32"/>
      <c r="J407" s="4">
        <f t="shared" si="18"/>
        <v>-43585264.0875</v>
      </c>
      <c r="K407" s="6">
        <f t="shared" si="19"/>
        <v>1</v>
      </c>
      <c r="L407" s="9">
        <f t="shared" si="20"/>
        <v>-23882.33648630137</v>
      </c>
    </row>
    <row r="408" spans="1:12" ht="12.75">
      <c r="A408" s="14">
        <v>39204</v>
      </c>
      <c r="B408" s="47" t="s">
        <v>118</v>
      </c>
      <c r="D408" s="48">
        <v>-300000</v>
      </c>
      <c r="E408" s="17"/>
      <c r="F408" s="31"/>
      <c r="G408" s="31"/>
      <c r="H408" s="32"/>
      <c r="J408" s="4">
        <f t="shared" si="18"/>
        <v>-43885264.0875</v>
      </c>
      <c r="K408" s="6">
        <f t="shared" si="19"/>
        <v>0</v>
      </c>
      <c r="L408" s="9">
        <f t="shared" si="20"/>
        <v>0</v>
      </c>
    </row>
    <row r="409" spans="1:12" ht="12.75">
      <c r="A409" s="14">
        <v>39204</v>
      </c>
      <c r="B409" s="47" t="s">
        <v>20</v>
      </c>
      <c r="D409" s="48">
        <v>-5300</v>
      </c>
      <c r="E409" s="17"/>
      <c r="F409" s="31"/>
      <c r="G409" s="31"/>
      <c r="H409" s="32"/>
      <c r="J409" s="4">
        <f t="shared" si="18"/>
        <v>-43890564.0875</v>
      </c>
      <c r="K409" s="6">
        <f t="shared" si="19"/>
        <v>0</v>
      </c>
      <c r="L409" s="9">
        <f t="shared" si="20"/>
        <v>0</v>
      </c>
    </row>
    <row r="410" spans="1:12" ht="12.75">
      <c r="A410" s="14">
        <v>39204</v>
      </c>
      <c r="B410" s="47" t="s">
        <v>20</v>
      </c>
      <c r="D410" s="48">
        <v>-63600</v>
      </c>
      <c r="E410" s="17"/>
      <c r="F410" s="31"/>
      <c r="G410" s="31"/>
      <c r="H410" s="32"/>
      <c r="J410" s="4">
        <f t="shared" si="18"/>
        <v>-43954164.0875</v>
      </c>
      <c r="K410" s="6">
        <f t="shared" si="19"/>
        <v>0</v>
      </c>
      <c r="L410" s="9">
        <f t="shared" si="20"/>
        <v>0</v>
      </c>
    </row>
    <row r="411" spans="1:12" ht="12.75">
      <c r="A411" s="14">
        <v>39204</v>
      </c>
      <c r="B411" s="47" t="s">
        <v>20</v>
      </c>
      <c r="D411" s="48">
        <v>-31800</v>
      </c>
      <c r="E411" s="17"/>
      <c r="F411" s="31"/>
      <c r="G411" s="31"/>
      <c r="H411" s="32"/>
      <c r="J411" s="4">
        <f t="shared" si="18"/>
        <v>-43985964.0875</v>
      </c>
      <c r="K411" s="6">
        <f t="shared" si="19"/>
        <v>0</v>
      </c>
      <c r="L411" s="9">
        <f t="shared" si="20"/>
        <v>0</v>
      </c>
    </row>
    <row r="412" spans="1:12" ht="12.75">
      <c r="A412" s="14">
        <v>39204</v>
      </c>
      <c r="B412" s="47" t="s">
        <v>7</v>
      </c>
      <c r="D412" s="33"/>
      <c r="E412" s="17">
        <v>-33000</v>
      </c>
      <c r="F412" s="31"/>
      <c r="G412" s="31"/>
      <c r="H412" s="32"/>
      <c r="J412" s="4">
        <f t="shared" si="18"/>
        <v>-44018964.0875</v>
      </c>
      <c r="K412" s="6">
        <f t="shared" si="19"/>
        <v>1</v>
      </c>
      <c r="L412" s="9">
        <f t="shared" si="20"/>
        <v>-24119.98032191781</v>
      </c>
    </row>
    <row r="413" spans="1:12" ht="12.75">
      <c r="A413" s="14">
        <v>39205</v>
      </c>
      <c r="B413" s="47" t="s">
        <v>20</v>
      </c>
      <c r="D413" s="48">
        <v>-84800</v>
      </c>
      <c r="E413" s="17"/>
      <c r="F413" s="31"/>
      <c r="G413" s="31"/>
      <c r="H413" s="32"/>
      <c r="J413" s="4">
        <f t="shared" si="18"/>
        <v>-44103764.0875</v>
      </c>
      <c r="K413" s="6">
        <f t="shared" si="19"/>
        <v>0</v>
      </c>
      <c r="L413" s="9">
        <f t="shared" si="20"/>
        <v>0</v>
      </c>
    </row>
    <row r="414" spans="1:12" ht="12.75">
      <c r="A414" s="14">
        <v>39205</v>
      </c>
      <c r="B414" s="47" t="s">
        <v>20</v>
      </c>
      <c r="D414" s="48">
        <v>-254400</v>
      </c>
      <c r="E414" s="17"/>
      <c r="F414" s="31"/>
      <c r="G414" s="31"/>
      <c r="H414" s="32"/>
      <c r="J414" s="4">
        <f t="shared" si="18"/>
        <v>-44358164.0875</v>
      </c>
      <c r="K414" s="6">
        <f t="shared" si="19"/>
        <v>0</v>
      </c>
      <c r="L414" s="9">
        <f t="shared" si="20"/>
        <v>0</v>
      </c>
    </row>
    <row r="415" spans="1:12" ht="12.75">
      <c r="A415" s="14">
        <v>39205</v>
      </c>
      <c r="B415" s="47" t="s">
        <v>28</v>
      </c>
      <c r="D415" s="48">
        <v>-105000</v>
      </c>
      <c r="E415" s="17"/>
      <c r="F415" s="31"/>
      <c r="G415" s="31"/>
      <c r="H415" s="32"/>
      <c r="J415" s="4">
        <f t="shared" si="18"/>
        <v>-44463164.0875</v>
      </c>
      <c r="K415" s="6">
        <f t="shared" si="19"/>
        <v>0</v>
      </c>
      <c r="L415" s="9">
        <f t="shared" si="20"/>
        <v>0</v>
      </c>
    </row>
    <row r="416" spans="1:12" ht="12.75">
      <c r="A416" s="14">
        <v>39205</v>
      </c>
      <c r="B416" s="47" t="s">
        <v>118</v>
      </c>
      <c r="D416" s="48">
        <v>-30000</v>
      </c>
      <c r="E416" s="17"/>
      <c r="F416" s="31"/>
      <c r="G416" s="31"/>
      <c r="H416" s="32"/>
      <c r="J416" s="4">
        <f t="shared" si="18"/>
        <v>-44493164.0875</v>
      </c>
      <c r="K416" s="6">
        <f t="shared" si="19"/>
        <v>1</v>
      </c>
      <c r="L416" s="9">
        <f t="shared" si="20"/>
        <v>-24379.815938356165</v>
      </c>
    </row>
    <row r="417" spans="1:12" ht="12.75">
      <c r="A417" s="14">
        <v>39206</v>
      </c>
      <c r="B417" s="47" t="s">
        <v>130</v>
      </c>
      <c r="D417" s="48">
        <v>-27378</v>
      </c>
      <c r="E417" s="17"/>
      <c r="F417" s="31"/>
      <c r="G417" s="31"/>
      <c r="H417" s="32"/>
      <c r="J417" s="4">
        <f t="shared" si="18"/>
        <v>-44520542.0875</v>
      </c>
      <c r="K417" s="6">
        <f t="shared" si="19"/>
        <v>0</v>
      </c>
      <c r="L417" s="9">
        <f t="shared" si="20"/>
        <v>0</v>
      </c>
    </row>
    <row r="418" spans="1:12" ht="12.75">
      <c r="A418" s="14">
        <v>39206</v>
      </c>
      <c r="B418" s="47" t="s">
        <v>27</v>
      </c>
      <c r="D418" s="48">
        <v>-15260</v>
      </c>
      <c r="E418" s="17"/>
      <c r="F418" s="31"/>
      <c r="G418" s="31"/>
      <c r="H418" s="32"/>
      <c r="J418" s="4">
        <f t="shared" si="18"/>
        <v>-44535802.0875</v>
      </c>
      <c r="K418" s="6">
        <f t="shared" si="19"/>
        <v>0</v>
      </c>
      <c r="L418" s="9">
        <f t="shared" si="20"/>
        <v>0</v>
      </c>
    </row>
    <row r="419" spans="1:12" ht="12.75">
      <c r="A419" s="14">
        <v>39206</v>
      </c>
      <c r="B419" s="47" t="s">
        <v>20</v>
      </c>
      <c r="D419" s="48">
        <v>-21200</v>
      </c>
      <c r="E419" s="17"/>
      <c r="F419" s="31"/>
      <c r="G419" s="31"/>
      <c r="H419" s="32"/>
      <c r="J419" s="4">
        <f t="shared" si="18"/>
        <v>-44557002.0875</v>
      </c>
      <c r="K419" s="6">
        <f t="shared" si="19"/>
        <v>0</v>
      </c>
      <c r="L419" s="9">
        <f t="shared" si="20"/>
        <v>0</v>
      </c>
    </row>
    <row r="420" spans="1:12" ht="12.75">
      <c r="A420" s="14">
        <v>39206</v>
      </c>
      <c r="B420" s="47" t="s">
        <v>21</v>
      </c>
      <c r="D420" s="48">
        <v>-6493.91</v>
      </c>
      <c r="E420" s="17"/>
      <c r="F420" s="31"/>
      <c r="G420" s="31"/>
      <c r="H420" s="32"/>
      <c r="J420" s="4">
        <f t="shared" si="18"/>
        <v>-44563495.997499995</v>
      </c>
      <c r="K420" s="6">
        <f t="shared" si="19"/>
        <v>0</v>
      </c>
      <c r="L420" s="9">
        <f t="shared" si="20"/>
        <v>0</v>
      </c>
    </row>
    <row r="421" spans="1:12" ht="12.75">
      <c r="A421" s="14">
        <v>39206</v>
      </c>
      <c r="B421" s="47" t="s">
        <v>28</v>
      </c>
      <c r="D421" s="48">
        <v>-105000</v>
      </c>
      <c r="E421" s="17"/>
      <c r="F421" s="31"/>
      <c r="G421" s="31"/>
      <c r="H421" s="32"/>
      <c r="J421" s="4">
        <f t="shared" si="18"/>
        <v>-44668495.997499995</v>
      </c>
      <c r="K421" s="6">
        <f t="shared" si="19"/>
        <v>0</v>
      </c>
      <c r="L421" s="9">
        <f t="shared" si="20"/>
        <v>0</v>
      </c>
    </row>
    <row r="422" spans="1:12" ht="12.75">
      <c r="A422" s="14">
        <v>39206</v>
      </c>
      <c r="B422" s="47" t="s">
        <v>7</v>
      </c>
      <c r="D422" s="33"/>
      <c r="E422" s="17">
        <v>-193200</v>
      </c>
      <c r="F422" s="31"/>
      <c r="G422" s="31"/>
      <c r="H422" s="32"/>
      <c r="J422" s="4">
        <f t="shared" si="18"/>
        <v>-44861695.997499995</v>
      </c>
      <c r="K422" s="6">
        <f t="shared" si="19"/>
        <v>1</v>
      </c>
      <c r="L422" s="9">
        <f t="shared" si="20"/>
        <v>-24581.75123150685</v>
      </c>
    </row>
    <row r="423" spans="1:12" ht="12.75">
      <c r="A423" s="14">
        <v>39207</v>
      </c>
      <c r="B423" s="47" t="s">
        <v>7</v>
      </c>
      <c r="D423" s="33"/>
      <c r="E423" s="17">
        <v>-117300</v>
      </c>
      <c r="F423" s="31"/>
      <c r="G423" s="31"/>
      <c r="H423" s="32"/>
      <c r="J423" s="4">
        <f t="shared" si="18"/>
        <v>-44978995.997499995</v>
      </c>
      <c r="K423" s="6">
        <f t="shared" si="19"/>
        <v>2</v>
      </c>
      <c r="L423" s="9">
        <f t="shared" si="20"/>
        <v>-49292.05040821918</v>
      </c>
    </row>
    <row r="424" spans="1:12" ht="12.75">
      <c r="A424" s="14">
        <v>39209</v>
      </c>
      <c r="B424" s="47" t="s">
        <v>128</v>
      </c>
      <c r="D424" s="48">
        <v>-6300</v>
      </c>
      <c r="E424" s="17"/>
      <c r="F424" s="31"/>
      <c r="G424" s="31"/>
      <c r="H424" s="32"/>
      <c r="J424" s="4">
        <f t="shared" si="18"/>
        <v>-44985295.997499995</v>
      </c>
      <c r="K424" s="6">
        <f t="shared" si="19"/>
        <v>0</v>
      </c>
      <c r="L424" s="9">
        <f t="shared" si="20"/>
        <v>0</v>
      </c>
    </row>
    <row r="425" spans="1:12" ht="12.75">
      <c r="A425" s="14">
        <v>39209</v>
      </c>
      <c r="B425" s="47" t="s">
        <v>28</v>
      </c>
      <c r="D425" s="48">
        <v>-105000</v>
      </c>
      <c r="E425" s="17"/>
      <c r="F425" s="31"/>
      <c r="G425" s="31"/>
      <c r="H425" s="32"/>
      <c r="J425" s="4">
        <f t="shared" si="18"/>
        <v>-45090295.997499995</v>
      </c>
      <c r="K425" s="6">
        <f t="shared" si="19"/>
        <v>0</v>
      </c>
      <c r="L425" s="9">
        <f t="shared" si="20"/>
        <v>0</v>
      </c>
    </row>
    <row r="426" spans="1:12" ht="12.75">
      <c r="A426" s="14">
        <v>39209</v>
      </c>
      <c r="B426" s="47" t="s">
        <v>129</v>
      </c>
      <c r="D426" s="48">
        <v>-780000</v>
      </c>
      <c r="E426" s="17"/>
      <c r="F426" s="31"/>
      <c r="G426" s="31"/>
      <c r="H426" s="32"/>
      <c r="J426" s="4">
        <f t="shared" si="18"/>
        <v>-45870295.997499995</v>
      </c>
      <c r="K426" s="6">
        <f t="shared" si="19"/>
        <v>0</v>
      </c>
      <c r="L426" s="9">
        <f t="shared" si="20"/>
        <v>0</v>
      </c>
    </row>
    <row r="427" spans="1:12" ht="12.75">
      <c r="A427" s="14">
        <v>39209</v>
      </c>
      <c r="B427" s="47" t="s">
        <v>28</v>
      </c>
      <c r="D427" s="49">
        <v>-249100</v>
      </c>
      <c r="E427" s="17"/>
      <c r="F427" s="31"/>
      <c r="G427" s="31"/>
      <c r="H427" s="32"/>
      <c r="J427" s="4">
        <f t="shared" si="18"/>
        <v>-46119395.997499995</v>
      </c>
      <c r="K427" s="6">
        <f t="shared" si="19"/>
        <v>1</v>
      </c>
      <c r="L427" s="9">
        <f t="shared" si="20"/>
        <v>-25270.901916438357</v>
      </c>
    </row>
    <row r="428" spans="1:12" ht="12.75">
      <c r="A428" s="14">
        <v>39210</v>
      </c>
      <c r="B428" s="30" t="s">
        <v>140</v>
      </c>
      <c r="C428" s="29">
        <f>8235630.78*0.8</f>
        <v>6588504.624000001</v>
      </c>
      <c r="D428" s="46"/>
      <c r="E428" s="17"/>
      <c r="F428" s="31"/>
      <c r="G428" s="31"/>
      <c r="H428" s="32"/>
      <c r="J428" s="4">
        <f t="shared" si="18"/>
        <v>-46119395.997499995</v>
      </c>
      <c r="K428" s="6">
        <f t="shared" si="19"/>
        <v>0</v>
      </c>
      <c r="L428" s="9">
        <f t="shared" si="20"/>
        <v>0</v>
      </c>
    </row>
    <row r="429" spans="1:12" ht="12.75">
      <c r="A429" s="14">
        <v>39210</v>
      </c>
      <c r="B429" s="13" t="s">
        <v>32</v>
      </c>
      <c r="C429" s="17">
        <f>-C428</f>
        <v>-6588504.624000001</v>
      </c>
      <c r="D429" s="46"/>
      <c r="E429" s="17"/>
      <c r="F429" s="31"/>
      <c r="G429" s="31"/>
      <c r="H429" s="32">
        <f>-C429</f>
        <v>6588504.624000001</v>
      </c>
      <c r="J429" s="4">
        <f t="shared" si="18"/>
        <v>-39530891.3735</v>
      </c>
      <c r="K429" s="6">
        <f t="shared" si="19"/>
        <v>0</v>
      </c>
      <c r="L429" s="9">
        <f t="shared" si="20"/>
        <v>0</v>
      </c>
    </row>
    <row r="430" spans="1:12" ht="12.75">
      <c r="A430" s="14">
        <v>39210</v>
      </c>
      <c r="B430" s="47" t="s">
        <v>135</v>
      </c>
      <c r="D430" s="48">
        <v>-20000</v>
      </c>
      <c r="E430" s="17"/>
      <c r="F430" s="31"/>
      <c r="G430" s="31"/>
      <c r="H430" s="32"/>
      <c r="J430" s="4">
        <f aca="true" t="shared" si="21" ref="J430:J457">J429+D430+E430+F430+G430+H430+I430</f>
        <v>-39550891.3735</v>
      </c>
      <c r="K430" s="6">
        <f aca="true" t="shared" si="22" ref="K430:K457">DATEDIF(A430,A431,"d")</f>
        <v>0</v>
      </c>
      <c r="L430" s="9">
        <f aca="true" t="shared" si="23" ref="L430:L457">J430*K430*0.2/365</f>
        <v>0</v>
      </c>
    </row>
    <row r="431" spans="1:12" ht="12.75">
      <c r="A431" s="14">
        <v>39210</v>
      </c>
      <c r="B431" s="47" t="s">
        <v>20</v>
      </c>
      <c r="D431" s="48">
        <v>-29680</v>
      </c>
      <c r="E431" s="17"/>
      <c r="F431" s="31"/>
      <c r="G431" s="31"/>
      <c r="H431" s="32"/>
      <c r="J431" s="4">
        <f t="shared" si="21"/>
        <v>-39580571.3735</v>
      </c>
      <c r="K431" s="6">
        <f t="shared" si="22"/>
        <v>0</v>
      </c>
      <c r="L431" s="9">
        <f t="shared" si="23"/>
        <v>0</v>
      </c>
    </row>
    <row r="432" spans="1:12" ht="12.75">
      <c r="A432" s="14">
        <v>39210</v>
      </c>
      <c r="B432" s="47" t="s">
        <v>136</v>
      </c>
      <c r="D432" s="48">
        <v>-150000</v>
      </c>
      <c r="E432" s="17"/>
      <c r="F432" s="31"/>
      <c r="G432" s="31"/>
      <c r="H432" s="32"/>
      <c r="J432" s="4">
        <f t="shared" si="21"/>
        <v>-39730571.3735</v>
      </c>
      <c r="K432" s="6">
        <f t="shared" si="22"/>
        <v>0</v>
      </c>
      <c r="L432" s="9">
        <f t="shared" si="23"/>
        <v>0</v>
      </c>
    </row>
    <row r="433" spans="1:12" ht="12.75">
      <c r="A433" s="14">
        <v>39210</v>
      </c>
      <c r="B433" s="47" t="s">
        <v>95</v>
      </c>
      <c r="D433" s="48">
        <v>-48000</v>
      </c>
      <c r="E433" s="17"/>
      <c r="F433" s="31"/>
      <c r="G433" s="31"/>
      <c r="H433" s="32"/>
      <c r="J433" s="4">
        <f t="shared" si="21"/>
        <v>-39778571.3735</v>
      </c>
      <c r="K433" s="6">
        <f t="shared" si="22"/>
        <v>0</v>
      </c>
      <c r="L433" s="9">
        <f t="shared" si="23"/>
        <v>0</v>
      </c>
    </row>
    <row r="434" spans="1:12" ht="12.75">
      <c r="A434" s="14">
        <v>39210</v>
      </c>
      <c r="B434" s="47" t="s">
        <v>137</v>
      </c>
      <c r="D434" s="48">
        <v>-5200.58</v>
      </c>
      <c r="E434" s="17"/>
      <c r="F434" s="31"/>
      <c r="G434" s="31"/>
      <c r="H434" s="32"/>
      <c r="J434" s="4">
        <f t="shared" si="21"/>
        <v>-39783771.953499995</v>
      </c>
      <c r="K434" s="6">
        <f t="shared" si="22"/>
        <v>0</v>
      </c>
      <c r="L434" s="9">
        <f t="shared" si="23"/>
        <v>0</v>
      </c>
    </row>
    <row r="435" spans="1:12" ht="12.75">
      <c r="A435" s="14">
        <v>39210</v>
      </c>
      <c r="B435" s="47" t="s">
        <v>28</v>
      </c>
      <c r="D435" s="48">
        <v>-157500</v>
      </c>
      <c r="E435" s="17"/>
      <c r="F435" s="31"/>
      <c r="G435" s="31"/>
      <c r="H435" s="32"/>
      <c r="J435" s="4">
        <f t="shared" si="21"/>
        <v>-39941271.953499995</v>
      </c>
      <c r="K435" s="6">
        <f t="shared" si="22"/>
        <v>1</v>
      </c>
      <c r="L435" s="9">
        <f t="shared" si="23"/>
        <v>-21885.62846767123</v>
      </c>
    </row>
    <row r="436" spans="1:12" ht="12.75">
      <c r="A436" s="14">
        <v>39211</v>
      </c>
      <c r="B436" s="47" t="s">
        <v>136</v>
      </c>
      <c r="D436" s="48">
        <v>-100000</v>
      </c>
      <c r="E436" s="17"/>
      <c r="F436" s="31"/>
      <c r="G436" s="31"/>
      <c r="H436" s="32"/>
      <c r="J436" s="4">
        <f t="shared" si="21"/>
        <v>-40041271.953499995</v>
      </c>
      <c r="K436" s="6">
        <f t="shared" si="22"/>
        <v>1</v>
      </c>
      <c r="L436" s="9">
        <f t="shared" si="23"/>
        <v>-21940.422988219176</v>
      </c>
    </row>
    <row r="437" spans="1:12" ht="12.75">
      <c r="A437" s="23">
        <v>39212</v>
      </c>
      <c r="B437" s="63" t="s">
        <v>27</v>
      </c>
      <c r="D437" s="17">
        <v>-86180</v>
      </c>
      <c r="E437" s="17"/>
      <c r="F437" s="31"/>
      <c r="G437" s="31"/>
      <c r="H437" s="32"/>
      <c r="J437" s="4">
        <f t="shared" si="21"/>
        <v>-40127451.953499995</v>
      </c>
      <c r="K437" s="6">
        <f t="shared" si="22"/>
        <v>0</v>
      </c>
      <c r="L437" s="9">
        <f t="shared" si="23"/>
        <v>0</v>
      </c>
    </row>
    <row r="438" spans="1:12" ht="12.75">
      <c r="A438" s="14">
        <v>39212</v>
      </c>
      <c r="B438" s="47" t="s">
        <v>20</v>
      </c>
      <c r="D438" s="48">
        <v>-21200</v>
      </c>
      <c r="E438" s="17"/>
      <c r="F438" s="31"/>
      <c r="G438" s="31"/>
      <c r="H438" s="32"/>
      <c r="J438" s="4">
        <f t="shared" si="21"/>
        <v>-40148651.953499995</v>
      </c>
      <c r="K438" s="6">
        <f t="shared" si="22"/>
        <v>0</v>
      </c>
      <c r="L438" s="9">
        <f t="shared" si="23"/>
        <v>0</v>
      </c>
    </row>
    <row r="439" spans="1:12" ht="12.75">
      <c r="A439" s="14">
        <v>39212</v>
      </c>
      <c r="B439" s="47" t="s">
        <v>21</v>
      </c>
      <c r="D439" s="48">
        <v>-31500</v>
      </c>
      <c r="E439" s="17"/>
      <c r="F439" s="31"/>
      <c r="G439" s="31"/>
      <c r="H439" s="32"/>
      <c r="J439" s="4">
        <f t="shared" si="21"/>
        <v>-40180151.953499995</v>
      </c>
      <c r="K439" s="6">
        <f t="shared" si="22"/>
        <v>1</v>
      </c>
      <c r="L439" s="9">
        <f t="shared" si="23"/>
        <v>-22016.521618356164</v>
      </c>
    </row>
    <row r="440" spans="1:12" ht="12.75">
      <c r="A440" s="14">
        <v>39213</v>
      </c>
      <c r="B440" s="47" t="s">
        <v>136</v>
      </c>
      <c r="D440" s="48">
        <v>-101000</v>
      </c>
      <c r="E440" s="17"/>
      <c r="F440" s="31"/>
      <c r="G440" s="31"/>
      <c r="H440" s="32"/>
      <c r="J440" s="4">
        <f t="shared" si="21"/>
        <v>-40281151.953499995</v>
      </c>
      <c r="K440" s="6">
        <f t="shared" si="22"/>
        <v>0</v>
      </c>
      <c r="L440" s="9">
        <f t="shared" si="23"/>
        <v>0</v>
      </c>
    </row>
    <row r="441" spans="1:12" ht="12.75">
      <c r="A441" s="14">
        <v>39213</v>
      </c>
      <c r="B441" s="47" t="s">
        <v>36</v>
      </c>
      <c r="D441" s="48">
        <v>-6825</v>
      </c>
      <c r="E441" s="17"/>
      <c r="F441" s="31"/>
      <c r="G441" s="31"/>
      <c r="H441" s="32"/>
      <c r="J441" s="4">
        <f t="shared" si="21"/>
        <v>-40287976.953499995</v>
      </c>
      <c r="K441" s="6">
        <f t="shared" si="22"/>
        <v>0</v>
      </c>
      <c r="L441" s="9">
        <f t="shared" si="23"/>
        <v>0</v>
      </c>
    </row>
    <row r="442" spans="1:12" ht="12.75">
      <c r="A442" s="14">
        <v>39213</v>
      </c>
      <c r="B442" s="47" t="s">
        <v>28</v>
      </c>
      <c r="D442" s="48">
        <v>-31500</v>
      </c>
      <c r="E442" s="17"/>
      <c r="F442" s="31"/>
      <c r="G442" s="31"/>
      <c r="H442" s="32"/>
      <c r="J442" s="4">
        <f t="shared" si="21"/>
        <v>-40319476.953499995</v>
      </c>
      <c r="K442" s="6">
        <f t="shared" si="22"/>
        <v>3</v>
      </c>
      <c r="L442" s="9">
        <f t="shared" si="23"/>
        <v>-66278.59225232876</v>
      </c>
    </row>
    <row r="443" spans="1:12" ht="12.75">
      <c r="A443" s="14">
        <v>39216</v>
      </c>
      <c r="B443" s="47" t="s">
        <v>138</v>
      </c>
      <c r="D443" s="48">
        <v>-200000</v>
      </c>
      <c r="E443" s="17"/>
      <c r="F443" s="31"/>
      <c r="G443" s="31"/>
      <c r="H443" s="32"/>
      <c r="J443" s="4">
        <f t="shared" si="21"/>
        <v>-40519476.953499995</v>
      </c>
      <c r="K443" s="6">
        <f t="shared" si="22"/>
        <v>0</v>
      </c>
      <c r="L443" s="9">
        <f t="shared" si="23"/>
        <v>0</v>
      </c>
    </row>
    <row r="444" spans="1:12" ht="12.75">
      <c r="A444" s="14">
        <v>39216</v>
      </c>
      <c r="B444" s="47" t="s">
        <v>28</v>
      </c>
      <c r="D444" s="49">
        <v>-73500</v>
      </c>
      <c r="E444" s="17"/>
      <c r="F444" s="31"/>
      <c r="G444" s="31"/>
      <c r="H444" s="32"/>
      <c r="J444" s="4">
        <f t="shared" si="21"/>
        <v>-40592976.953499995</v>
      </c>
      <c r="K444" s="6">
        <f t="shared" si="22"/>
        <v>0</v>
      </c>
      <c r="L444" s="9">
        <f t="shared" si="23"/>
        <v>0</v>
      </c>
    </row>
    <row r="445" spans="1:12" ht="12.75">
      <c r="A445" s="14">
        <v>39216</v>
      </c>
      <c r="B445" s="76" t="s">
        <v>143</v>
      </c>
      <c r="D445" s="49">
        <v>-150000</v>
      </c>
      <c r="E445" s="17"/>
      <c r="F445" s="31"/>
      <c r="G445" s="31"/>
      <c r="H445" s="32"/>
      <c r="J445" s="4">
        <f t="shared" si="21"/>
        <v>-40742976.953499995</v>
      </c>
      <c r="K445" s="6">
        <f t="shared" si="22"/>
        <v>0</v>
      </c>
      <c r="L445" s="9">
        <f t="shared" si="23"/>
        <v>0</v>
      </c>
    </row>
    <row r="446" spans="1:12" ht="12.75">
      <c r="A446" s="14">
        <v>39216</v>
      </c>
      <c r="B446" s="47" t="s">
        <v>95</v>
      </c>
      <c r="D446" s="49">
        <v>-31500</v>
      </c>
      <c r="E446" s="17"/>
      <c r="F446" s="31"/>
      <c r="G446" s="31"/>
      <c r="H446" s="32"/>
      <c r="J446" s="4">
        <f t="shared" si="21"/>
        <v>-40774476.953499995</v>
      </c>
      <c r="K446" s="6">
        <f t="shared" si="22"/>
        <v>1</v>
      </c>
      <c r="L446" s="9">
        <f t="shared" si="23"/>
        <v>-22342.179152602737</v>
      </c>
    </row>
    <row r="447" spans="1:12" ht="12.75">
      <c r="A447" s="14">
        <v>39217</v>
      </c>
      <c r="B447" s="47" t="s">
        <v>20</v>
      </c>
      <c r="D447" s="49">
        <v>-6360</v>
      </c>
      <c r="E447" s="17"/>
      <c r="F447" s="31"/>
      <c r="G447" s="31"/>
      <c r="H447" s="32"/>
      <c r="J447" s="4">
        <f t="shared" si="21"/>
        <v>-40780836.953499995</v>
      </c>
      <c r="K447" s="6">
        <f t="shared" si="22"/>
        <v>0</v>
      </c>
      <c r="L447" s="9">
        <f t="shared" si="23"/>
        <v>0</v>
      </c>
    </row>
    <row r="448" spans="1:12" ht="12.75">
      <c r="A448" s="14">
        <v>39217</v>
      </c>
      <c r="B448" s="47" t="s">
        <v>20</v>
      </c>
      <c r="D448" s="49">
        <v>-318000</v>
      </c>
      <c r="E448" s="17"/>
      <c r="F448" s="31"/>
      <c r="G448" s="31"/>
      <c r="H448" s="32"/>
      <c r="J448" s="4">
        <f t="shared" si="21"/>
        <v>-41098836.953499995</v>
      </c>
      <c r="K448" s="6">
        <f t="shared" si="22"/>
        <v>0</v>
      </c>
      <c r="L448" s="9">
        <f t="shared" si="23"/>
        <v>0</v>
      </c>
    </row>
    <row r="449" spans="1:12" ht="12.75">
      <c r="A449" s="14">
        <v>39217</v>
      </c>
      <c r="B449" s="47" t="s">
        <v>28</v>
      </c>
      <c r="D449" s="49">
        <v>-136500</v>
      </c>
      <c r="E449" s="17"/>
      <c r="F449" s="31"/>
      <c r="G449" s="31"/>
      <c r="H449" s="32"/>
      <c r="J449" s="4">
        <f t="shared" si="21"/>
        <v>-41235336.953499995</v>
      </c>
      <c r="K449" s="6">
        <f t="shared" si="22"/>
        <v>0</v>
      </c>
      <c r="L449" s="9">
        <f t="shared" si="23"/>
        <v>0</v>
      </c>
    </row>
    <row r="450" spans="1:12" ht="12.75">
      <c r="A450" s="14">
        <v>39217</v>
      </c>
      <c r="B450" s="47" t="s">
        <v>141</v>
      </c>
      <c r="D450" s="48">
        <v>-826.4</v>
      </c>
      <c r="E450" s="17"/>
      <c r="F450" s="31"/>
      <c r="G450" s="31"/>
      <c r="H450" s="32"/>
      <c r="J450" s="4">
        <f t="shared" si="21"/>
        <v>-41236163.35349999</v>
      </c>
      <c r="K450" s="6">
        <f t="shared" si="22"/>
        <v>0</v>
      </c>
      <c r="L450" s="9">
        <f t="shared" si="23"/>
        <v>0</v>
      </c>
    </row>
    <row r="451" spans="1:12" ht="12.75">
      <c r="A451" s="14">
        <v>39217</v>
      </c>
      <c r="B451" s="30" t="s">
        <v>144</v>
      </c>
      <c r="C451" s="29">
        <f>5923246.27*0.8</f>
        <v>4738597.016</v>
      </c>
      <c r="D451" s="46"/>
      <c r="E451" s="17"/>
      <c r="F451" s="31"/>
      <c r="G451" s="31"/>
      <c r="H451" s="32"/>
      <c r="J451" s="4">
        <f t="shared" si="21"/>
        <v>-41236163.35349999</v>
      </c>
      <c r="K451" s="6">
        <f t="shared" si="22"/>
        <v>0</v>
      </c>
      <c r="L451" s="9">
        <f t="shared" si="23"/>
        <v>0</v>
      </c>
    </row>
    <row r="452" spans="1:12" ht="12.75">
      <c r="A452" s="14">
        <v>39217</v>
      </c>
      <c r="B452" s="13" t="s">
        <v>32</v>
      </c>
      <c r="C452" s="17">
        <f>-C451</f>
        <v>-4738597.016</v>
      </c>
      <c r="D452" s="46"/>
      <c r="E452" s="17"/>
      <c r="F452" s="31"/>
      <c r="G452" s="31"/>
      <c r="H452" s="32">
        <f>-C452</f>
        <v>4738597.016</v>
      </c>
      <c r="J452" s="4">
        <f t="shared" si="21"/>
        <v>-36497566.33749999</v>
      </c>
      <c r="K452" s="6">
        <f t="shared" si="22"/>
        <v>1</v>
      </c>
      <c r="L452" s="9">
        <f t="shared" si="23"/>
        <v>-19998.666486301365</v>
      </c>
    </row>
    <row r="453" spans="1:12" ht="12.75">
      <c r="A453" s="14">
        <v>39218</v>
      </c>
      <c r="B453" s="47" t="s">
        <v>27</v>
      </c>
      <c r="D453" s="48">
        <v>-55660</v>
      </c>
      <c r="E453" s="17"/>
      <c r="F453" s="31"/>
      <c r="G453" s="31"/>
      <c r="H453" s="32"/>
      <c r="J453" s="4">
        <f t="shared" si="21"/>
        <v>-36553226.33749999</v>
      </c>
      <c r="K453" s="6">
        <f t="shared" si="22"/>
        <v>0</v>
      </c>
      <c r="L453" s="9">
        <f t="shared" si="23"/>
        <v>0</v>
      </c>
    </row>
    <row r="454" spans="1:12" ht="12.75">
      <c r="A454" s="14">
        <v>39218</v>
      </c>
      <c r="B454" s="47" t="s">
        <v>20</v>
      </c>
      <c r="D454" s="48">
        <v>-21200</v>
      </c>
      <c r="E454" s="17"/>
      <c r="F454" s="31"/>
      <c r="G454" s="31"/>
      <c r="H454" s="32"/>
      <c r="J454" s="4">
        <f t="shared" si="21"/>
        <v>-36574426.33749999</v>
      </c>
      <c r="K454" s="6">
        <f t="shared" si="22"/>
        <v>1</v>
      </c>
      <c r="L454" s="9">
        <f t="shared" si="23"/>
        <v>-20040.781554794517</v>
      </c>
    </row>
    <row r="455" spans="1:12" ht="12.75">
      <c r="A455" s="14">
        <v>39219</v>
      </c>
      <c r="B455" s="76" t="s">
        <v>143</v>
      </c>
      <c r="D455" s="48">
        <v>-110000</v>
      </c>
      <c r="E455" s="17"/>
      <c r="F455" s="31"/>
      <c r="G455" s="31"/>
      <c r="H455" s="32"/>
      <c r="J455" s="4">
        <f t="shared" si="21"/>
        <v>-36684426.33749999</v>
      </c>
      <c r="K455" s="6">
        <f t="shared" si="22"/>
        <v>1</v>
      </c>
      <c r="L455" s="9">
        <f t="shared" si="23"/>
        <v>-20101.055527397257</v>
      </c>
    </row>
    <row r="456" spans="1:12" ht="12.75">
      <c r="A456" s="14">
        <v>39220</v>
      </c>
      <c r="B456" s="47" t="s">
        <v>28</v>
      </c>
      <c r="D456" s="48">
        <v>-31500</v>
      </c>
      <c r="E456" s="17"/>
      <c r="F456" s="31"/>
      <c r="G456" s="31"/>
      <c r="H456" s="32"/>
      <c r="J456" s="4">
        <f t="shared" si="21"/>
        <v>-36715926.33749999</v>
      </c>
      <c r="K456" s="6">
        <f t="shared" si="22"/>
        <v>0</v>
      </c>
      <c r="L456" s="9">
        <f t="shared" si="23"/>
        <v>0</v>
      </c>
    </row>
    <row r="457" spans="1:12" ht="12.75">
      <c r="A457" s="14">
        <v>39220</v>
      </c>
      <c r="B457" s="47" t="s">
        <v>142</v>
      </c>
      <c r="D457" s="48">
        <v>-43000</v>
      </c>
      <c r="E457" s="17"/>
      <c r="F457" s="31"/>
      <c r="G457" s="31"/>
      <c r="H457" s="32"/>
      <c r="J457" s="4">
        <f t="shared" si="21"/>
        <v>-36758926.33749999</v>
      </c>
      <c r="K457" s="6">
        <f t="shared" si="22"/>
        <v>0</v>
      </c>
      <c r="L457" s="9">
        <f t="shared" si="23"/>
        <v>0</v>
      </c>
    </row>
    <row r="458" spans="1:12" ht="12.75">
      <c r="A458" s="14">
        <v>39220</v>
      </c>
      <c r="B458" s="47" t="s">
        <v>136</v>
      </c>
      <c r="D458" s="49">
        <v>-103600</v>
      </c>
      <c r="E458" s="17"/>
      <c r="F458" s="31"/>
      <c r="G458" s="31"/>
      <c r="H458" s="32"/>
      <c r="J458" s="4">
        <f>J457+D458+E458+F458+G458+H458+I458</f>
        <v>-36862526.33749999</v>
      </c>
      <c r="K458" s="6">
        <f>DATEDIF(A458,A459,"d")</f>
        <v>0</v>
      </c>
      <c r="L458" s="9">
        <f>J458*K458*0.2/365</f>
        <v>0</v>
      </c>
    </row>
    <row r="459" spans="1:12" ht="12.75">
      <c r="A459" s="14">
        <v>39220</v>
      </c>
      <c r="B459" s="47" t="s">
        <v>30</v>
      </c>
      <c r="D459" s="49"/>
      <c r="E459" s="17"/>
      <c r="F459" s="31"/>
      <c r="G459" s="49">
        <v>-29355.57</v>
      </c>
      <c r="H459" s="32"/>
      <c r="J459" s="4">
        <f>J458+D459+E459+F459+G459+H459+I459</f>
        <v>-36891881.90749999</v>
      </c>
      <c r="K459" s="6">
        <f>DATEDIF(A459,A460,"d")</f>
        <v>0</v>
      </c>
      <c r="L459" s="9">
        <f>J459*K459*0.2/365</f>
        <v>0</v>
      </c>
    </row>
    <row r="460" spans="1:12" ht="12.75">
      <c r="A460" s="14">
        <v>39220</v>
      </c>
      <c r="B460" s="47" t="s">
        <v>7</v>
      </c>
      <c r="D460" s="33"/>
      <c r="E460" s="17">
        <v>-72000</v>
      </c>
      <c r="F460" s="31"/>
      <c r="G460" s="31"/>
      <c r="H460" s="32"/>
      <c r="J460" s="4">
        <f>J459+D460+E460+F460+G460+H460+I460</f>
        <v>-36963881.90749999</v>
      </c>
      <c r="K460" s="6">
        <f>DATEDIF(A460,A461,"d")</f>
        <v>0</v>
      </c>
      <c r="L460" s="9">
        <f>J460*K460*0.2/365</f>
        <v>0</v>
      </c>
    </row>
    <row r="461" spans="1:12" ht="12.75">
      <c r="A461" s="14">
        <v>39220</v>
      </c>
      <c r="B461" s="47" t="s">
        <v>7</v>
      </c>
      <c r="D461" s="33"/>
      <c r="E461" s="17">
        <v>-122400</v>
      </c>
      <c r="F461" s="31"/>
      <c r="G461" s="31"/>
      <c r="H461" s="32"/>
      <c r="J461" s="4">
        <f aca="true" t="shared" si="24" ref="J461:J475">J460+D461+E461+F461+G461+H461+I461</f>
        <v>-37086281.90749999</v>
      </c>
      <c r="K461" s="6">
        <f aca="true" t="shared" si="25" ref="K461:K475">DATEDIF(A461,A462,"d")</f>
        <v>1</v>
      </c>
      <c r="L461" s="9">
        <f aca="true" t="shared" si="26" ref="L461:L475">J461*K461*0.2/365</f>
        <v>-20321.250360273967</v>
      </c>
    </row>
    <row r="462" spans="1:12" ht="12.75">
      <c r="A462" s="14">
        <v>39221</v>
      </c>
      <c r="B462" s="47" t="s">
        <v>7</v>
      </c>
      <c r="D462" s="33"/>
      <c r="E462" s="17">
        <v>-37250</v>
      </c>
      <c r="F462" s="31"/>
      <c r="G462" s="31"/>
      <c r="H462" s="32"/>
      <c r="J462" s="4">
        <f t="shared" si="24"/>
        <v>-37123531.90749999</v>
      </c>
      <c r="K462" s="6">
        <f t="shared" si="25"/>
        <v>0</v>
      </c>
      <c r="L462" s="9">
        <f t="shared" si="26"/>
        <v>0</v>
      </c>
    </row>
    <row r="463" spans="1:12" ht="12.75">
      <c r="A463" s="14">
        <v>39221</v>
      </c>
      <c r="B463" s="47" t="s">
        <v>7</v>
      </c>
      <c r="D463" s="33"/>
      <c r="E463" s="17">
        <v>-57600</v>
      </c>
      <c r="F463" s="31"/>
      <c r="G463" s="31"/>
      <c r="H463" s="32"/>
      <c r="J463" s="4">
        <f t="shared" si="24"/>
        <v>-37181131.90749999</v>
      </c>
      <c r="K463" s="6">
        <f t="shared" si="25"/>
        <v>2</v>
      </c>
      <c r="L463" s="9">
        <f t="shared" si="26"/>
        <v>-40746.44592602739</v>
      </c>
    </row>
    <row r="464" spans="1:12" ht="12.75">
      <c r="A464" s="14">
        <v>39223</v>
      </c>
      <c r="B464" s="47" t="s">
        <v>21</v>
      </c>
      <c r="D464" s="48">
        <v>-63000</v>
      </c>
      <c r="E464" s="17"/>
      <c r="F464" s="31"/>
      <c r="G464" s="31"/>
      <c r="H464" s="32"/>
      <c r="J464" s="4">
        <f t="shared" si="24"/>
        <v>-37244131.90749999</v>
      </c>
      <c r="K464" s="6">
        <f t="shared" si="25"/>
        <v>0</v>
      </c>
      <c r="L464" s="9">
        <f t="shared" si="26"/>
        <v>0</v>
      </c>
    </row>
    <row r="465" spans="1:12" ht="12.75">
      <c r="A465" s="14">
        <v>39223</v>
      </c>
      <c r="B465" s="47" t="s">
        <v>20</v>
      </c>
      <c r="D465" s="48">
        <v>-159000</v>
      </c>
      <c r="E465" s="17"/>
      <c r="F465" s="31"/>
      <c r="G465" s="31"/>
      <c r="H465" s="32"/>
      <c r="J465" s="4">
        <f t="shared" si="24"/>
        <v>-37403131.90749999</v>
      </c>
      <c r="K465" s="6">
        <f t="shared" si="25"/>
        <v>0</v>
      </c>
      <c r="L465" s="9">
        <f t="shared" si="26"/>
        <v>0</v>
      </c>
    </row>
    <row r="466" spans="1:12" ht="12.75">
      <c r="A466" s="14">
        <v>39223</v>
      </c>
      <c r="B466" s="47" t="s">
        <v>28</v>
      </c>
      <c r="D466" s="48">
        <v>-105000</v>
      </c>
      <c r="E466" s="17"/>
      <c r="F466" s="31"/>
      <c r="G466" s="31"/>
      <c r="H466" s="32"/>
      <c r="J466" s="4">
        <f t="shared" si="24"/>
        <v>-37508131.90749999</v>
      </c>
      <c r="K466" s="6">
        <f t="shared" si="25"/>
        <v>1</v>
      </c>
      <c r="L466" s="9">
        <f t="shared" si="26"/>
        <v>-20552.401045205475</v>
      </c>
    </row>
    <row r="467" spans="1:12" ht="12.75">
      <c r="A467" s="14">
        <v>39224</v>
      </c>
      <c r="B467" s="47" t="s">
        <v>145</v>
      </c>
      <c r="D467" s="48">
        <v>-300000</v>
      </c>
      <c r="E467" s="17"/>
      <c r="F467" s="31"/>
      <c r="G467" s="31"/>
      <c r="H467" s="32"/>
      <c r="J467" s="4">
        <f t="shared" si="24"/>
        <v>-37808131.90749999</v>
      </c>
      <c r="K467" s="6">
        <f t="shared" si="25"/>
        <v>0</v>
      </c>
      <c r="L467" s="9">
        <f t="shared" si="26"/>
        <v>0</v>
      </c>
    </row>
    <row r="468" spans="1:12" ht="12.75">
      <c r="A468" s="14">
        <v>39224</v>
      </c>
      <c r="B468" s="47" t="s">
        <v>28</v>
      </c>
      <c r="D468" s="48">
        <v>-147000</v>
      </c>
      <c r="E468" s="17"/>
      <c r="F468" s="31"/>
      <c r="G468" s="31"/>
      <c r="H468" s="32"/>
      <c r="J468" s="4">
        <f t="shared" si="24"/>
        <v>-37955131.90749999</v>
      </c>
      <c r="K468" s="6">
        <f t="shared" si="25"/>
        <v>0</v>
      </c>
      <c r="L468" s="9">
        <f t="shared" si="26"/>
        <v>0</v>
      </c>
    </row>
    <row r="469" spans="1:12" ht="12.75">
      <c r="A469" s="14">
        <v>39224</v>
      </c>
      <c r="B469" s="47" t="s">
        <v>20</v>
      </c>
      <c r="D469" s="48">
        <v>-318000</v>
      </c>
      <c r="E469" s="17"/>
      <c r="F469" s="31"/>
      <c r="G469" s="31"/>
      <c r="H469" s="32"/>
      <c r="J469" s="4">
        <f t="shared" si="24"/>
        <v>-38273131.90749999</v>
      </c>
      <c r="K469" s="6">
        <f t="shared" si="25"/>
        <v>0</v>
      </c>
      <c r="L469" s="9">
        <f t="shared" si="26"/>
        <v>0</v>
      </c>
    </row>
    <row r="470" spans="1:12" ht="12.75">
      <c r="A470" s="14">
        <v>39224</v>
      </c>
      <c r="B470" s="47" t="s">
        <v>7</v>
      </c>
      <c r="D470" s="33"/>
      <c r="E470" s="17">
        <v>-75990</v>
      </c>
      <c r="F470" s="31"/>
      <c r="G470" s="31"/>
      <c r="H470" s="32"/>
      <c r="J470" s="4">
        <f t="shared" si="24"/>
        <v>-38349121.90749999</v>
      </c>
      <c r="K470" s="6">
        <f t="shared" si="25"/>
        <v>1</v>
      </c>
      <c r="L470" s="9">
        <f t="shared" si="26"/>
        <v>-21013.21748356164</v>
      </c>
    </row>
    <row r="471" spans="1:12" ht="12.75">
      <c r="A471" s="14">
        <v>39225</v>
      </c>
      <c r="B471" s="47" t="s">
        <v>7</v>
      </c>
      <c r="D471" s="33"/>
      <c r="E471" s="17">
        <v>-52150</v>
      </c>
      <c r="F471" s="31"/>
      <c r="G471" s="31"/>
      <c r="H471" s="32"/>
      <c r="J471" s="4">
        <f t="shared" si="24"/>
        <v>-38401271.90749999</v>
      </c>
      <c r="K471" s="6">
        <f t="shared" si="25"/>
        <v>0</v>
      </c>
      <c r="L471" s="9">
        <f t="shared" si="26"/>
        <v>0</v>
      </c>
    </row>
    <row r="472" spans="1:12" ht="12.75">
      <c r="A472" s="14">
        <v>39225</v>
      </c>
      <c r="B472" s="47" t="s">
        <v>7</v>
      </c>
      <c r="D472" s="33"/>
      <c r="E472" s="17">
        <v>-111750</v>
      </c>
      <c r="F472" s="31"/>
      <c r="G472" s="31"/>
      <c r="H472" s="32"/>
      <c r="J472" s="4">
        <f t="shared" si="24"/>
        <v>-38513021.90749999</v>
      </c>
      <c r="K472" s="6">
        <f t="shared" si="25"/>
        <v>0</v>
      </c>
      <c r="L472" s="9">
        <f t="shared" si="26"/>
        <v>0</v>
      </c>
    </row>
    <row r="473" spans="1:12" ht="12.75">
      <c r="A473" s="14">
        <v>39225</v>
      </c>
      <c r="B473" s="47" t="s">
        <v>7</v>
      </c>
      <c r="D473" s="33"/>
      <c r="E473" s="17">
        <v>-96850</v>
      </c>
      <c r="F473" s="31"/>
      <c r="G473" s="31"/>
      <c r="H473" s="32"/>
      <c r="J473" s="4">
        <f t="shared" si="24"/>
        <v>-38609871.90749999</v>
      </c>
      <c r="K473" s="6">
        <f t="shared" si="25"/>
        <v>0</v>
      </c>
      <c r="L473" s="9">
        <f t="shared" si="26"/>
        <v>0</v>
      </c>
    </row>
    <row r="474" spans="1:12" ht="12.75">
      <c r="A474" s="14">
        <v>39225</v>
      </c>
      <c r="B474" s="47" t="s">
        <v>7</v>
      </c>
      <c r="D474" s="33"/>
      <c r="E474" s="17">
        <v>-67050</v>
      </c>
      <c r="F474" s="31"/>
      <c r="G474" s="31"/>
      <c r="H474" s="32"/>
      <c r="J474" s="4">
        <f t="shared" si="24"/>
        <v>-38676921.90749999</v>
      </c>
      <c r="K474" s="6">
        <f t="shared" si="25"/>
        <v>0</v>
      </c>
      <c r="L474" s="9">
        <f t="shared" si="26"/>
        <v>0</v>
      </c>
    </row>
    <row r="475" spans="1:12" ht="12.75">
      <c r="A475" s="14">
        <v>39225</v>
      </c>
      <c r="B475" s="47" t="s">
        <v>95</v>
      </c>
      <c r="D475" s="48">
        <v>-30000</v>
      </c>
      <c r="E475" s="17"/>
      <c r="F475" s="31"/>
      <c r="G475" s="31"/>
      <c r="H475" s="32"/>
      <c r="J475" s="4">
        <f t="shared" si="24"/>
        <v>-38706921.90749999</v>
      </c>
      <c r="K475" s="6">
        <f t="shared" si="25"/>
        <v>1</v>
      </c>
      <c r="L475" s="9">
        <f t="shared" si="26"/>
        <v>-21209.272278082186</v>
      </c>
    </row>
    <row r="476" spans="1:12" ht="12.75">
      <c r="A476" s="14">
        <v>39226</v>
      </c>
      <c r="B476" s="47" t="s">
        <v>145</v>
      </c>
      <c r="D476" s="48">
        <v>700000</v>
      </c>
      <c r="E476" s="17"/>
      <c r="F476" s="31"/>
      <c r="G476" s="31"/>
      <c r="H476" s="32"/>
      <c r="J476" s="4">
        <f aca="true" t="shared" si="27" ref="J476:J483">J475+D476+E476+F476+G476+H476+I476</f>
        <v>-38006921.90749999</v>
      </c>
      <c r="K476" s="6">
        <f aca="true" t="shared" si="28" ref="K476:K483">DATEDIF(A476,A477,"d")</f>
        <v>0</v>
      </c>
      <c r="L476" s="9">
        <f aca="true" t="shared" si="29" ref="L476:L483">J476*K476*0.2/365</f>
        <v>0</v>
      </c>
    </row>
    <row r="477" spans="1:12" ht="12.75">
      <c r="A477" s="14">
        <v>39226</v>
      </c>
      <c r="B477" s="47" t="s">
        <v>95</v>
      </c>
      <c r="D477" s="49">
        <v>-905000</v>
      </c>
      <c r="E477" s="17"/>
      <c r="F477" s="31"/>
      <c r="G477" s="31"/>
      <c r="H477" s="32"/>
      <c r="J477" s="4">
        <f t="shared" si="27"/>
        <v>-38911921.90749999</v>
      </c>
      <c r="K477" s="6">
        <f t="shared" si="28"/>
        <v>0</v>
      </c>
      <c r="L477" s="9">
        <f t="shared" si="29"/>
        <v>0</v>
      </c>
    </row>
    <row r="478" spans="1:12" ht="12.75">
      <c r="A478" s="14">
        <v>39226</v>
      </c>
      <c r="B478" s="47" t="s">
        <v>146</v>
      </c>
      <c r="D478" s="49">
        <v>-8643.4</v>
      </c>
      <c r="E478" s="17"/>
      <c r="F478" s="31"/>
      <c r="G478" s="31"/>
      <c r="H478" s="32"/>
      <c r="J478" s="4">
        <f t="shared" si="27"/>
        <v>-38920565.30749999</v>
      </c>
      <c r="K478" s="6">
        <f t="shared" si="28"/>
        <v>0</v>
      </c>
      <c r="L478" s="9">
        <f t="shared" si="29"/>
        <v>0</v>
      </c>
    </row>
    <row r="479" spans="1:12" ht="12.75">
      <c r="A479" s="14">
        <v>39226</v>
      </c>
      <c r="B479" s="47" t="s">
        <v>7</v>
      </c>
      <c r="D479" s="33"/>
      <c r="E479" s="17">
        <v>-93125</v>
      </c>
      <c r="F479" s="31"/>
      <c r="G479" s="31"/>
      <c r="H479" s="32"/>
      <c r="J479" s="4">
        <f t="shared" si="27"/>
        <v>-39013690.30749999</v>
      </c>
      <c r="K479" s="6">
        <f t="shared" si="28"/>
        <v>0</v>
      </c>
      <c r="L479" s="9">
        <f t="shared" si="29"/>
        <v>0</v>
      </c>
    </row>
    <row r="480" spans="1:12" ht="12.75">
      <c r="A480" s="14">
        <v>39226</v>
      </c>
      <c r="B480" s="47" t="s">
        <v>7</v>
      </c>
      <c r="D480" s="33"/>
      <c r="E480" s="17">
        <v>-186250</v>
      </c>
      <c r="F480" s="31"/>
      <c r="G480" s="31"/>
      <c r="H480" s="32"/>
      <c r="J480" s="4">
        <f t="shared" si="27"/>
        <v>-39199940.30749999</v>
      </c>
      <c r="K480" s="6">
        <f t="shared" si="28"/>
        <v>0</v>
      </c>
      <c r="L480" s="9">
        <f t="shared" si="29"/>
        <v>0</v>
      </c>
    </row>
    <row r="481" spans="1:12" ht="12.75">
      <c r="A481" s="14">
        <v>39226</v>
      </c>
      <c r="B481" s="47" t="s">
        <v>7</v>
      </c>
      <c r="D481" s="33"/>
      <c r="E481" s="17">
        <v>-81950</v>
      </c>
      <c r="F481" s="31"/>
      <c r="G481" s="31"/>
      <c r="H481" s="32"/>
      <c r="J481" s="4">
        <f t="shared" si="27"/>
        <v>-39281890.30749999</v>
      </c>
      <c r="K481" s="6">
        <f t="shared" si="28"/>
        <v>0</v>
      </c>
      <c r="L481" s="9">
        <f t="shared" si="29"/>
        <v>0</v>
      </c>
    </row>
    <row r="482" spans="1:12" ht="12.75">
      <c r="A482" s="14">
        <v>39226</v>
      </c>
      <c r="B482" s="47" t="s">
        <v>7</v>
      </c>
      <c r="D482" s="33"/>
      <c r="E482" s="17">
        <v>-104300</v>
      </c>
      <c r="F482" s="31"/>
      <c r="G482" s="31"/>
      <c r="H482" s="32"/>
      <c r="J482" s="4">
        <f t="shared" si="27"/>
        <v>-39386190.30749999</v>
      </c>
      <c r="K482" s="6">
        <f t="shared" si="28"/>
        <v>0</v>
      </c>
      <c r="L482" s="9">
        <f t="shared" si="29"/>
        <v>0</v>
      </c>
    </row>
    <row r="483" spans="1:12" ht="12.75">
      <c r="A483" s="14">
        <v>39226</v>
      </c>
      <c r="B483" s="47" t="s">
        <v>7</v>
      </c>
      <c r="D483" s="33"/>
      <c r="E483" s="17">
        <v>-96850</v>
      </c>
      <c r="F483" s="31"/>
      <c r="G483" s="31"/>
      <c r="H483" s="32"/>
      <c r="J483" s="4">
        <f t="shared" si="27"/>
        <v>-39483040.30749999</v>
      </c>
      <c r="K483" s="6">
        <f t="shared" si="28"/>
        <v>0</v>
      </c>
      <c r="L483" s="9">
        <f t="shared" si="29"/>
        <v>0</v>
      </c>
    </row>
    <row r="484" spans="1:12" ht="12.75">
      <c r="A484" s="14">
        <v>39226</v>
      </c>
      <c r="B484" s="47" t="s">
        <v>7</v>
      </c>
      <c r="D484" s="33"/>
      <c r="E484" s="17">
        <v>-111750</v>
      </c>
      <c r="F484" s="31"/>
      <c r="G484" s="31"/>
      <c r="H484" s="32"/>
      <c r="J484" s="4">
        <f aca="true" t="shared" si="30" ref="J484:J492">J483+D484+E484+F484+G484+H484+I484</f>
        <v>-39594790.30749999</v>
      </c>
      <c r="K484" s="6">
        <f aca="true" t="shared" si="31" ref="K484:K492">DATEDIF(A484,A485,"d")</f>
        <v>0</v>
      </c>
      <c r="L484" s="9">
        <f aca="true" t="shared" si="32" ref="L484:L492">J484*K484*0.2/365</f>
        <v>0</v>
      </c>
    </row>
    <row r="485" spans="1:12" ht="12.75">
      <c r="A485" s="14">
        <v>39226</v>
      </c>
      <c r="B485" s="47" t="s">
        <v>7</v>
      </c>
      <c r="D485" s="33"/>
      <c r="E485" s="17">
        <v>-91635</v>
      </c>
      <c r="F485" s="31"/>
      <c r="G485" s="31"/>
      <c r="H485" s="32"/>
      <c r="J485" s="4">
        <f t="shared" si="30"/>
        <v>-39686425.30749999</v>
      </c>
      <c r="K485" s="6">
        <f t="shared" si="31"/>
        <v>0</v>
      </c>
      <c r="L485" s="9">
        <f t="shared" si="32"/>
        <v>0</v>
      </c>
    </row>
    <row r="486" spans="1:12" ht="12.75">
      <c r="A486" s="14">
        <v>39226</v>
      </c>
      <c r="B486" s="47" t="s">
        <v>7</v>
      </c>
      <c r="D486" s="33"/>
      <c r="E486" s="17">
        <v>-104300</v>
      </c>
      <c r="F486" s="31"/>
      <c r="G486" s="31"/>
      <c r="H486" s="32"/>
      <c r="J486" s="4">
        <f t="shared" si="30"/>
        <v>-39790725.30749999</v>
      </c>
      <c r="K486" s="6">
        <f t="shared" si="31"/>
        <v>0</v>
      </c>
      <c r="L486" s="9">
        <f t="shared" si="32"/>
        <v>0</v>
      </c>
    </row>
    <row r="487" spans="1:12" ht="12.75">
      <c r="A487" s="14">
        <v>39226</v>
      </c>
      <c r="B487" s="47" t="s">
        <v>7</v>
      </c>
      <c r="D487" s="33"/>
      <c r="E487" s="17">
        <v>-43200</v>
      </c>
      <c r="F487" s="31"/>
      <c r="G487" s="31"/>
      <c r="H487" s="32"/>
      <c r="J487" s="4">
        <f t="shared" si="30"/>
        <v>-39833925.30749999</v>
      </c>
      <c r="K487" s="6">
        <f t="shared" si="31"/>
        <v>1</v>
      </c>
      <c r="L487" s="9">
        <f t="shared" si="32"/>
        <v>-21826.808387671226</v>
      </c>
    </row>
    <row r="488" spans="1:12" ht="12.75">
      <c r="A488" s="14">
        <v>39227</v>
      </c>
      <c r="B488" s="47" t="s">
        <v>35</v>
      </c>
      <c r="D488" s="17">
        <v>-3000000</v>
      </c>
      <c r="E488" s="17"/>
      <c r="F488" s="31"/>
      <c r="G488" s="31"/>
      <c r="H488" s="32"/>
      <c r="J488" s="4">
        <f t="shared" si="30"/>
        <v>-42833925.30749999</v>
      </c>
      <c r="K488" s="6">
        <f t="shared" si="31"/>
        <v>0</v>
      </c>
      <c r="L488" s="9">
        <f t="shared" si="32"/>
        <v>0</v>
      </c>
    </row>
    <row r="489" spans="1:12" ht="12.75">
      <c r="A489" s="14">
        <v>39227</v>
      </c>
      <c r="B489" s="47" t="s">
        <v>147</v>
      </c>
      <c r="D489" s="17">
        <v>-300000</v>
      </c>
      <c r="E489" s="17"/>
      <c r="F489" s="31"/>
      <c r="G489" s="31"/>
      <c r="H489" s="32"/>
      <c r="J489" s="4">
        <f t="shared" si="30"/>
        <v>-43133925.30749999</v>
      </c>
      <c r="K489" s="6">
        <f t="shared" si="31"/>
        <v>0</v>
      </c>
      <c r="L489" s="9">
        <f t="shared" si="32"/>
        <v>0</v>
      </c>
    </row>
    <row r="490" spans="1:12" ht="12.75">
      <c r="A490" s="14">
        <v>39227</v>
      </c>
      <c r="B490" s="47" t="s">
        <v>21</v>
      </c>
      <c r="D490" s="17">
        <v>-105000</v>
      </c>
      <c r="E490" s="17"/>
      <c r="F490" s="31"/>
      <c r="G490" s="31"/>
      <c r="H490" s="32"/>
      <c r="J490" s="4">
        <f t="shared" si="30"/>
        <v>-43238925.30749999</v>
      </c>
      <c r="K490" s="6">
        <f t="shared" si="31"/>
        <v>0</v>
      </c>
      <c r="L490" s="9">
        <f t="shared" si="32"/>
        <v>0</v>
      </c>
    </row>
    <row r="491" spans="1:12" ht="12.75">
      <c r="A491" s="14">
        <v>39227</v>
      </c>
      <c r="B491" s="47" t="s">
        <v>127</v>
      </c>
      <c r="D491" s="17">
        <v>-90000</v>
      </c>
      <c r="E491" s="17"/>
      <c r="F491" s="31"/>
      <c r="G491" s="31"/>
      <c r="H491" s="32"/>
      <c r="J491" s="4">
        <f t="shared" si="30"/>
        <v>-43328925.30749999</v>
      </c>
      <c r="K491" s="6">
        <f t="shared" si="31"/>
        <v>2</v>
      </c>
      <c r="L491" s="9">
        <f t="shared" si="32"/>
        <v>-47483.75376164383</v>
      </c>
    </row>
    <row r="492" spans="1:12" ht="12.75">
      <c r="A492" s="14">
        <v>39229</v>
      </c>
      <c r="B492" s="47" t="s">
        <v>7</v>
      </c>
      <c r="D492" s="33"/>
      <c r="E492" s="17">
        <v>-93600</v>
      </c>
      <c r="F492" s="31"/>
      <c r="G492" s="31"/>
      <c r="H492" s="32"/>
      <c r="J492" s="4">
        <f t="shared" si="30"/>
        <v>-43422525.30749999</v>
      </c>
      <c r="K492" s="6">
        <f t="shared" si="31"/>
        <v>1</v>
      </c>
      <c r="L492" s="9">
        <f t="shared" si="32"/>
        <v>-23793.16455205479</v>
      </c>
    </row>
    <row r="493" spans="1:12" ht="12.75">
      <c r="A493" s="14">
        <v>39230</v>
      </c>
      <c r="B493" s="47" t="s">
        <v>20</v>
      </c>
      <c r="D493" s="17">
        <v>-74200</v>
      </c>
      <c r="E493" s="17"/>
      <c r="F493" s="31"/>
      <c r="G493" s="31"/>
      <c r="H493" s="32"/>
      <c r="J493" s="4">
        <f aca="true" t="shared" si="33" ref="J493:J506">J492+D493+E493+F493+G493+H493+I493</f>
        <v>-43496725.30749999</v>
      </c>
      <c r="K493" s="6">
        <f aca="true" t="shared" si="34" ref="K493:K506">DATEDIF(A493,A494,"d")</f>
        <v>1</v>
      </c>
      <c r="L493" s="9">
        <f aca="true" t="shared" si="35" ref="L493:L506">J493*K493*0.2/365</f>
        <v>-23833.822086301363</v>
      </c>
    </row>
    <row r="494" spans="1:12" ht="12.75">
      <c r="A494" s="14">
        <v>39231</v>
      </c>
      <c r="B494" s="47" t="s">
        <v>20</v>
      </c>
      <c r="D494" s="17">
        <v>-127200</v>
      </c>
      <c r="E494" s="17"/>
      <c r="F494" s="31"/>
      <c r="G494" s="31"/>
      <c r="H494" s="32"/>
      <c r="J494" s="4">
        <f t="shared" si="33"/>
        <v>-43623925.30749999</v>
      </c>
      <c r="K494" s="6">
        <f t="shared" si="34"/>
        <v>0</v>
      </c>
      <c r="L494" s="9">
        <f t="shared" si="35"/>
        <v>0</v>
      </c>
    </row>
    <row r="495" spans="1:12" ht="12.75">
      <c r="A495" s="14">
        <v>39231</v>
      </c>
      <c r="B495" s="47" t="s">
        <v>21</v>
      </c>
      <c r="D495" s="17">
        <v>-210000</v>
      </c>
      <c r="E495" s="17"/>
      <c r="F495" s="31"/>
      <c r="G495" s="31"/>
      <c r="H495" s="32"/>
      <c r="J495" s="4">
        <f t="shared" si="33"/>
        <v>-43833925.30749999</v>
      </c>
      <c r="K495" s="6">
        <f t="shared" si="34"/>
        <v>0</v>
      </c>
      <c r="L495" s="9">
        <f t="shared" si="35"/>
        <v>0</v>
      </c>
    </row>
    <row r="496" spans="1:12" ht="12.75">
      <c r="A496" s="14">
        <v>39231</v>
      </c>
      <c r="B496" s="47" t="s">
        <v>45</v>
      </c>
      <c r="D496" s="17">
        <v>-1000000</v>
      </c>
      <c r="E496" s="17"/>
      <c r="F496" s="31"/>
      <c r="G496" s="31"/>
      <c r="H496" s="32"/>
      <c r="J496" s="4">
        <f t="shared" si="33"/>
        <v>-44833925.30749999</v>
      </c>
      <c r="K496" s="6">
        <f t="shared" si="34"/>
        <v>0</v>
      </c>
      <c r="L496" s="9">
        <f t="shared" si="35"/>
        <v>0</v>
      </c>
    </row>
    <row r="497" spans="1:12" ht="12.75">
      <c r="A497" s="14">
        <v>39231</v>
      </c>
      <c r="B497" s="47" t="s">
        <v>27</v>
      </c>
      <c r="D497" s="17">
        <v>-101110</v>
      </c>
      <c r="E497" s="17"/>
      <c r="F497" s="31"/>
      <c r="G497" s="31"/>
      <c r="H497" s="32"/>
      <c r="J497" s="4">
        <f t="shared" si="33"/>
        <v>-44935035.30749999</v>
      </c>
      <c r="K497" s="6">
        <f t="shared" si="34"/>
        <v>0</v>
      </c>
      <c r="L497" s="9">
        <f t="shared" si="35"/>
        <v>0</v>
      </c>
    </row>
    <row r="498" spans="1:12" ht="12.75">
      <c r="A498" s="14">
        <v>39231</v>
      </c>
      <c r="B498" s="30" t="s">
        <v>148</v>
      </c>
      <c r="C498" s="29">
        <f>(5398084.15)*0.8</f>
        <v>4318467.32</v>
      </c>
      <c r="D498" s="71"/>
      <c r="E498" s="32"/>
      <c r="F498" s="31"/>
      <c r="G498" s="31"/>
      <c r="H498" s="32"/>
      <c r="J498" s="4">
        <f t="shared" si="33"/>
        <v>-44935035.30749999</v>
      </c>
      <c r="K498" s="6">
        <f t="shared" si="34"/>
        <v>0</v>
      </c>
      <c r="L498" s="9">
        <f t="shared" si="35"/>
        <v>0</v>
      </c>
    </row>
    <row r="499" spans="1:12" ht="12.75">
      <c r="A499" s="14">
        <v>39231</v>
      </c>
      <c r="B499" s="13" t="s">
        <v>32</v>
      </c>
      <c r="C499" s="17">
        <f>-C498</f>
        <v>-4318467.32</v>
      </c>
      <c r="D499" s="46"/>
      <c r="E499" s="17"/>
      <c r="F499" s="31"/>
      <c r="G499" s="31"/>
      <c r="H499" s="32">
        <f>-C499</f>
        <v>4318467.32</v>
      </c>
      <c r="J499" s="4">
        <f t="shared" si="33"/>
        <v>-40616567.98749999</v>
      </c>
      <c r="K499" s="6">
        <f t="shared" si="34"/>
        <v>0</v>
      </c>
      <c r="L499" s="9">
        <f t="shared" si="35"/>
        <v>0</v>
      </c>
    </row>
    <row r="500" spans="1:12" ht="12.75">
      <c r="A500" s="14">
        <v>39231</v>
      </c>
      <c r="B500" s="30" t="s">
        <v>154</v>
      </c>
      <c r="C500" s="29">
        <f>(54649.6)*0.8</f>
        <v>43719.68</v>
      </c>
      <c r="D500" s="71"/>
      <c r="E500" s="32"/>
      <c r="F500" s="31"/>
      <c r="G500" s="31"/>
      <c r="H500" s="32"/>
      <c r="J500" s="4">
        <f t="shared" si="33"/>
        <v>-40616567.98749999</v>
      </c>
      <c r="K500" s="6">
        <f t="shared" si="34"/>
        <v>0</v>
      </c>
      <c r="L500" s="9">
        <f t="shared" si="35"/>
        <v>0</v>
      </c>
    </row>
    <row r="501" spans="1:12" ht="12.75">
      <c r="A501" s="14">
        <v>39231</v>
      </c>
      <c r="B501" s="13" t="s">
        <v>32</v>
      </c>
      <c r="C501" s="17">
        <f>-C500</f>
        <v>-43719.68</v>
      </c>
      <c r="D501" s="46"/>
      <c r="E501" s="17"/>
      <c r="F501" s="31"/>
      <c r="G501" s="31"/>
      <c r="H501" s="32">
        <f>-C501</f>
        <v>43719.68</v>
      </c>
      <c r="J501" s="4">
        <f t="shared" si="33"/>
        <v>-40572848.30749999</v>
      </c>
      <c r="K501" s="6">
        <f t="shared" si="34"/>
        <v>0</v>
      </c>
      <c r="L501" s="9">
        <f t="shared" si="35"/>
        <v>0</v>
      </c>
    </row>
    <row r="502" spans="1:12" ht="12.75">
      <c r="A502" s="14">
        <v>39231</v>
      </c>
      <c r="B502" s="13" t="s">
        <v>37</v>
      </c>
      <c r="C502" s="17"/>
      <c r="D502" s="46"/>
      <c r="E502" s="17"/>
      <c r="F502" s="31"/>
      <c r="G502" s="17">
        <v>-1550</v>
      </c>
      <c r="H502" s="32"/>
      <c r="J502" s="4">
        <f t="shared" si="33"/>
        <v>-40574398.30749999</v>
      </c>
      <c r="K502" s="6">
        <f t="shared" si="34"/>
        <v>0</v>
      </c>
      <c r="L502" s="9">
        <f t="shared" si="35"/>
        <v>0</v>
      </c>
    </row>
    <row r="503" spans="1:12" ht="12.75">
      <c r="A503" s="14">
        <v>39231</v>
      </c>
      <c r="B503" s="13" t="s">
        <v>37</v>
      </c>
      <c r="C503" s="17"/>
      <c r="D503" s="46"/>
      <c r="E503" s="17"/>
      <c r="F503" s="31"/>
      <c r="G503" s="17">
        <v>-1310</v>
      </c>
      <c r="H503" s="32"/>
      <c r="J503" s="4">
        <f t="shared" si="33"/>
        <v>-40575708.30749999</v>
      </c>
      <c r="K503" s="6">
        <f t="shared" si="34"/>
        <v>0</v>
      </c>
      <c r="L503" s="9">
        <f t="shared" si="35"/>
        <v>0</v>
      </c>
    </row>
    <row r="504" spans="1:12" ht="12.75">
      <c r="A504" s="14">
        <v>39231</v>
      </c>
      <c r="B504" s="13" t="s">
        <v>37</v>
      </c>
      <c r="C504" s="17"/>
      <c r="D504" s="46"/>
      <c r="E504" s="17"/>
      <c r="F504" s="31"/>
      <c r="G504" s="17">
        <v>-1345.03</v>
      </c>
      <c r="H504" s="32"/>
      <c r="J504" s="4">
        <f t="shared" si="33"/>
        <v>-40577053.33749999</v>
      </c>
      <c r="K504" s="6">
        <f t="shared" si="34"/>
        <v>0</v>
      </c>
      <c r="L504" s="9">
        <f t="shared" si="35"/>
        <v>0</v>
      </c>
    </row>
    <row r="505" spans="1:12" ht="12.75">
      <c r="A505" s="14">
        <v>39231</v>
      </c>
      <c r="B505" s="13" t="s">
        <v>37</v>
      </c>
      <c r="C505" s="17"/>
      <c r="D505" s="46"/>
      <c r="E505" s="17"/>
      <c r="F505" s="31"/>
      <c r="G505" s="17">
        <v>-7002.33</v>
      </c>
      <c r="H505" s="32"/>
      <c r="J505" s="4">
        <f t="shared" si="33"/>
        <v>-40584055.66749999</v>
      </c>
      <c r="K505" s="6">
        <f t="shared" si="34"/>
        <v>0</v>
      </c>
      <c r="L505" s="9">
        <f t="shared" si="35"/>
        <v>0</v>
      </c>
    </row>
    <row r="506" spans="1:12" ht="12.75">
      <c r="A506" s="14">
        <v>39231</v>
      </c>
      <c r="B506" s="13" t="s">
        <v>37</v>
      </c>
      <c r="C506" s="17"/>
      <c r="D506" s="46"/>
      <c r="E506" s="17"/>
      <c r="F506" s="31"/>
      <c r="G506" s="17">
        <v>-7969.99</v>
      </c>
      <c r="H506" s="32"/>
      <c r="J506" s="4">
        <f t="shared" si="33"/>
        <v>-40592025.65749999</v>
      </c>
      <c r="K506" s="6">
        <f t="shared" si="34"/>
        <v>0</v>
      </c>
      <c r="L506" s="9">
        <f t="shared" si="35"/>
        <v>0</v>
      </c>
    </row>
    <row r="507" spans="1:12" ht="12.75">
      <c r="A507" s="14">
        <v>39231</v>
      </c>
      <c r="B507" s="13" t="s">
        <v>37</v>
      </c>
      <c r="C507" s="17"/>
      <c r="D507" s="46"/>
      <c r="E507" s="17"/>
      <c r="F507" s="31"/>
      <c r="G507" s="17">
        <v>-4526.13</v>
      </c>
      <c r="H507" s="32"/>
      <c r="J507" s="4">
        <f>J506+D507+E507+F507+G507+H507+I507</f>
        <v>-40596551.787499994</v>
      </c>
      <c r="K507" s="6">
        <f aca="true" t="shared" si="36" ref="K507:K512">DATEDIF(A507,A508,"d")</f>
        <v>0</v>
      </c>
      <c r="L507" s="9">
        <f aca="true" t="shared" si="37" ref="L507:L512">J507*K507*0.2/365</f>
        <v>0</v>
      </c>
    </row>
    <row r="508" spans="1:12" ht="12.75">
      <c r="A508" s="14">
        <v>39231</v>
      </c>
      <c r="B508" s="13" t="s">
        <v>37</v>
      </c>
      <c r="C508" s="17"/>
      <c r="D508" s="46"/>
      <c r="E508" s="17"/>
      <c r="F508" s="31"/>
      <c r="G508" s="17">
        <v>-2060</v>
      </c>
      <c r="H508" s="32"/>
      <c r="J508" s="4">
        <f>J507+D508+E508+F508+G508+H508+I508</f>
        <v>-40598611.787499994</v>
      </c>
      <c r="K508" s="6">
        <f t="shared" si="36"/>
        <v>0</v>
      </c>
      <c r="L508" s="9">
        <f t="shared" si="37"/>
        <v>0</v>
      </c>
    </row>
    <row r="509" spans="1:12" ht="12.75">
      <c r="A509" s="14">
        <v>39231</v>
      </c>
      <c r="B509" s="13" t="s">
        <v>37</v>
      </c>
      <c r="C509" s="17"/>
      <c r="D509" s="46"/>
      <c r="E509" s="17"/>
      <c r="F509" s="31"/>
      <c r="G509" s="17">
        <v>-6427.93</v>
      </c>
      <c r="H509" s="32"/>
      <c r="J509" s="4">
        <f>J508+D509+E509+F509+G509+H509+I509</f>
        <v>-40605039.717499994</v>
      </c>
      <c r="K509" s="6">
        <f t="shared" si="36"/>
        <v>0</v>
      </c>
      <c r="L509" s="9">
        <f t="shared" si="37"/>
        <v>0</v>
      </c>
    </row>
    <row r="510" spans="1:12" ht="12.75">
      <c r="A510" s="14">
        <v>39231</v>
      </c>
      <c r="B510" s="13" t="s">
        <v>37</v>
      </c>
      <c r="C510" s="17"/>
      <c r="D510" s="46"/>
      <c r="E510" s="17"/>
      <c r="F510" s="31"/>
      <c r="G510" s="17">
        <v>-64517.29</v>
      </c>
      <c r="H510" s="32"/>
      <c r="J510" s="4">
        <f aca="true" t="shared" si="38" ref="J510:J519">J509+D510+E510+F510+G510+H510+I510</f>
        <v>-40669557.00749999</v>
      </c>
      <c r="K510" s="6">
        <f t="shared" si="36"/>
        <v>0</v>
      </c>
      <c r="L510" s="9">
        <f t="shared" si="37"/>
        <v>0</v>
      </c>
    </row>
    <row r="511" spans="1:12" ht="12.75">
      <c r="A511" s="14">
        <v>39231</v>
      </c>
      <c r="B511" s="13" t="s">
        <v>37</v>
      </c>
      <c r="C511" s="17"/>
      <c r="D511" s="46"/>
      <c r="E511" s="17"/>
      <c r="F511" s="31"/>
      <c r="G511" s="17">
        <v>-4900.5</v>
      </c>
      <c r="H511" s="32"/>
      <c r="J511" s="4">
        <f t="shared" si="38"/>
        <v>-40674457.50749999</v>
      </c>
      <c r="K511" s="6">
        <f t="shared" si="36"/>
        <v>0</v>
      </c>
      <c r="L511" s="9">
        <f t="shared" si="37"/>
        <v>0</v>
      </c>
    </row>
    <row r="512" spans="1:12" ht="12.75">
      <c r="A512" s="14">
        <v>39231</v>
      </c>
      <c r="B512" s="13" t="s">
        <v>37</v>
      </c>
      <c r="C512" s="17"/>
      <c r="D512" s="46"/>
      <c r="E512" s="17"/>
      <c r="F512" s="31"/>
      <c r="G512" s="17">
        <v>-2835.65</v>
      </c>
      <c r="H512" s="32"/>
      <c r="J512" s="4">
        <f t="shared" si="38"/>
        <v>-40677293.15749999</v>
      </c>
      <c r="K512" s="6">
        <f t="shared" si="36"/>
        <v>0</v>
      </c>
      <c r="L512" s="9">
        <f t="shared" si="37"/>
        <v>0</v>
      </c>
    </row>
    <row r="513" spans="1:12" ht="12.75">
      <c r="A513" s="14">
        <v>39231</v>
      </c>
      <c r="B513" s="13" t="s">
        <v>37</v>
      </c>
      <c r="C513" s="17"/>
      <c r="D513" s="46"/>
      <c r="E513" s="17"/>
      <c r="F513" s="31"/>
      <c r="G513" s="17">
        <v>-48529.17</v>
      </c>
      <c r="H513" s="32"/>
      <c r="J513" s="4">
        <f t="shared" si="38"/>
        <v>-40725822.32749999</v>
      </c>
      <c r="K513" s="6">
        <f aca="true" t="shared" si="39" ref="K513:K519">DATEDIF(A513,A514,"d")</f>
        <v>1</v>
      </c>
      <c r="L513" s="9">
        <f aca="true" t="shared" si="40" ref="L513:L519">J513*K513*0.2/365</f>
        <v>-22315.51908356164</v>
      </c>
    </row>
    <row r="514" spans="1:12" ht="12.75">
      <c r="A514" s="14">
        <v>39232</v>
      </c>
      <c r="B514" s="13" t="s">
        <v>90</v>
      </c>
      <c r="C514" s="17"/>
      <c r="D514" s="46"/>
      <c r="E514" s="17"/>
      <c r="F514" s="31"/>
      <c r="G514" s="17">
        <v>-49216.02</v>
      </c>
      <c r="H514" s="32"/>
      <c r="J514" s="4">
        <f t="shared" si="38"/>
        <v>-40775038.3475</v>
      </c>
      <c r="K514" s="6">
        <f t="shared" si="39"/>
        <v>0</v>
      </c>
      <c r="L514" s="9">
        <f t="shared" si="40"/>
        <v>0</v>
      </c>
    </row>
    <row r="515" spans="1:12" ht="12.75">
      <c r="A515" s="14">
        <v>39232</v>
      </c>
      <c r="B515" s="13" t="s">
        <v>90</v>
      </c>
      <c r="C515" s="17"/>
      <c r="D515" s="46"/>
      <c r="E515" s="17"/>
      <c r="F515" s="31"/>
      <c r="G515" s="17">
        <v>-67826.76</v>
      </c>
      <c r="H515" s="32"/>
      <c r="J515" s="4">
        <f t="shared" si="38"/>
        <v>-40842865.107499994</v>
      </c>
      <c r="K515" s="6">
        <f t="shared" si="39"/>
        <v>0</v>
      </c>
      <c r="L515" s="9">
        <f t="shared" si="40"/>
        <v>0</v>
      </c>
    </row>
    <row r="516" spans="1:12" ht="12.75">
      <c r="A516" s="14">
        <v>39232</v>
      </c>
      <c r="B516" s="13" t="s">
        <v>90</v>
      </c>
      <c r="C516" s="17"/>
      <c r="D516" s="46"/>
      <c r="E516" s="17"/>
      <c r="F516" s="31"/>
      <c r="G516" s="17">
        <v>-4695.6</v>
      </c>
      <c r="H516" s="32"/>
      <c r="J516" s="4">
        <f t="shared" si="38"/>
        <v>-40847560.707499996</v>
      </c>
      <c r="K516" s="6">
        <f t="shared" si="39"/>
        <v>0</v>
      </c>
      <c r="L516" s="9">
        <f t="shared" si="40"/>
        <v>0</v>
      </c>
    </row>
    <row r="517" spans="1:12" ht="12.75">
      <c r="A517" s="14">
        <v>39232</v>
      </c>
      <c r="B517" s="13" t="s">
        <v>90</v>
      </c>
      <c r="C517" s="17"/>
      <c r="D517" s="46"/>
      <c r="E517" s="17"/>
      <c r="F517" s="31"/>
      <c r="G517" s="17">
        <v>-63091.35</v>
      </c>
      <c r="H517" s="32"/>
      <c r="J517" s="4">
        <f t="shared" si="38"/>
        <v>-40910652.0575</v>
      </c>
      <c r="K517" s="6">
        <f t="shared" si="39"/>
        <v>0</v>
      </c>
      <c r="L517" s="9">
        <f t="shared" si="40"/>
        <v>0</v>
      </c>
    </row>
    <row r="518" spans="1:12" ht="12.75">
      <c r="A518" s="14">
        <v>39232</v>
      </c>
      <c r="B518" s="13" t="s">
        <v>90</v>
      </c>
      <c r="C518" s="17"/>
      <c r="D518" s="46"/>
      <c r="E518" s="17"/>
      <c r="F518" s="31"/>
      <c r="G518" s="17">
        <v>-43740.66</v>
      </c>
      <c r="H518" s="32"/>
      <c r="J518" s="4">
        <f t="shared" si="38"/>
        <v>-40954392.717499994</v>
      </c>
      <c r="K518" s="6">
        <f t="shared" si="39"/>
        <v>0</v>
      </c>
      <c r="L518" s="9">
        <f t="shared" si="40"/>
        <v>0</v>
      </c>
    </row>
    <row r="519" spans="1:12" ht="12.75">
      <c r="A519" s="14">
        <v>39232</v>
      </c>
      <c r="B519" s="13" t="s">
        <v>90</v>
      </c>
      <c r="C519" s="17"/>
      <c r="D519" s="46"/>
      <c r="E519" s="17"/>
      <c r="F519" s="31"/>
      <c r="G519" s="17">
        <v>-20111.97</v>
      </c>
      <c r="H519" s="32"/>
      <c r="J519" s="4">
        <f t="shared" si="38"/>
        <v>-40974504.68749999</v>
      </c>
      <c r="K519" s="6">
        <f t="shared" si="39"/>
        <v>0</v>
      </c>
      <c r="L519" s="9">
        <f t="shared" si="40"/>
        <v>0</v>
      </c>
    </row>
    <row r="520" spans="1:12" ht="12.75">
      <c r="A520" s="14">
        <v>39232</v>
      </c>
      <c r="B520" s="13" t="s">
        <v>90</v>
      </c>
      <c r="C520" s="17"/>
      <c r="D520" s="46"/>
      <c r="E520" s="17"/>
      <c r="F520" s="31"/>
      <c r="G520" s="17">
        <v>-7782.42</v>
      </c>
      <c r="H520" s="32"/>
      <c r="J520" s="4">
        <f aca="true" t="shared" si="41" ref="J520:J525">J519+D520+E520+F520+G520+H520+I520</f>
        <v>-40982287.107499994</v>
      </c>
      <c r="K520" s="6">
        <f aca="true" t="shared" si="42" ref="K520:K527">DATEDIF(A520,A521,"d")</f>
        <v>0</v>
      </c>
      <c r="L520" s="9">
        <f aca="true" t="shared" si="43" ref="L520:L527">J520*K520*0.2/365</f>
        <v>0</v>
      </c>
    </row>
    <row r="521" spans="1:12" ht="12.75">
      <c r="A521" s="14">
        <v>39232</v>
      </c>
      <c r="B521" s="13" t="s">
        <v>90</v>
      </c>
      <c r="C521" s="17"/>
      <c r="D521" s="46"/>
      <c r="E521" s="17"/>
      <c r="F521" s="31"/>
      <c r="G521" s="17">
        <v>-24902.02</v>
      </c>
      <c r="H521" s="32"/>
      <c r="J521" s="4">
        <f t="shared" si="41"/>
        <v>-41007189.1275</v>
      </c>
      <c r="K521" s="6">
        <f t="shared" si="42"/>
        <v>0</v>
      </c>
      <c r="L521" s="9">
        <f t="shared" si="43"/>
        <v>0</v>
      </c>
    </row>
    <row r="522" spans="1:12" ht="12.75">
      <c r="A522" s="14">
        <v>39232</v>
      </c>
      <c r="B522" s="13" t="s">
        <v>90</v>
      </c>
      <c r="C522" s="17"/>
      <c r="D522" s="46"/>
      <c r="E522" s="17"/>
      <c r="F522" s="31"/>
      <c r="G522" s="17">
        <v>-76468.43</v>
      </c>
      <c r="H522" s="32"/>
      <c r="J522" s="4">
        <f t="shared" si="41"/>
        <v>-41083657.5575</v>
      </c>
      <c r="K522" s="6">
        <f t="shared" si="42"/>
        <v>0</v>
      </c>
      <c r="L522" s="9">
        <f t="shared" si="43"/>
        <v>0</v>
      </c>
    </row>
    <row r="523" spans="1:12" ht="12.75">
      <c r="A523" s="14">
        <v>39232</v>
      </c>
      <c r="B523" s="13" t="s">
        <v>45</v>
      </c>
      <c r="C523" s="17"/>
      <c r="D523" s="48">
        <v>-500000</v>
      </c>
      <c r="E523" s="17"/>
      <c r="F523" s="31"/>
      <c r="G523" s="31"/>
      <c r="H523" s="32"/>
      <c r="J523" s="4">
        <f t="shared" si="41"/>
        <v>-41583657.5575</v>
      </c>
      <c r="K523" s="6">
        <f t="shared" si="42"/>
        <v>0</v>
      </c>
      <c r="L523" s="9">
        <f t="shared" si="43"/>
        <v>0</v>
      </c>
    </row>
    <row r="524" spans="1:12" ht="12.75">
      <c r="A524" s="14">
        <v>39232</v>
      </c>
      <c r="B524" s="13" t="s">
        <v>27</v>
      </c>
      <c r="C524" s="17"/>
      <c r="D524" s="48">
        <v>-60710</v>
      </c>
      <c r="E524" s="17"/>
      <c r="F524" s="31"/>
      <c r="G524" s="31"/>
      <c r="H524" s="32"/>
      <c r="J524" s="4">
        <f t="shared" si="41"/>
        <v>-41644367.5575</v>
      </c>
      <c r="K524" s="6">
        <f t="shared" si="42"/>
        <v>0</v>
      </c>
      <c r="L524" s="9">
        <f t="shared" si="43"/>
        <v>0</v>
      </c>
    </row>
    <row r="525" spans="1:12" ht="12.75">
      <c r="A525" s="14">
        <v>39232</v>
      </c>
      <c r="B525" s="13" t="s">
        <v>95</v>
      </c>
      <c r="C525" s="17"/>
      <c r="D525" s="48">
        <v>-10200</v>
      </c>
      <c r="E525" s="17"/>
      <c r="F525" s="31"/>
      <c r="G525" s="31"/>
      <c r="H525" s="32"/>
      <c r="J525" s="4">
        <f t="shared" si="41"/>
        <v>-41654567.5575</v>
      </c>
      <c r="K525" s="6">
        <f t="shared" si="42"/>
        <v>0</v>
      </c>
      <c r="L525" s="9">
        <f t="shared" si="43"/>
        <v>0</v>
      </c>
    </row>
    <row r="526" spans="1:12" ht="12.75">
      <c r="A526" s="14">
        <v>39232</v>
      </c>
      <c r="B526" s="13" t="s">
        <v>25</v>
      </c>
      <c r="C526" s="17"/>
      <c r="D526" s="48">
        <v>-5300</v>
      </c>
      <c r="E526" s="17"/>
      <c r="F526" s="31"/>
      <c r="G526" s="31"/>
      <c r="H526" s="32"/>
      <c r="J526" s="4">
        <f aca="true" t="shared" si="44" ref="J526:J542">J525+D526+E526+F526+G526+H526+I526</f>
        <v>-41659867.5575</v>
      </c>
      <c r="K526" s="6">
        <f t="shared" si="42"/>
        <v>0</v>
      </c>
      <c r="L526" s="9">
        <f t="shared" si="43"/>
        <v>0</v>
      </c>
    </row>
    <row r="527" spans="1:12" ht="12.75">
      <c r="A527" s="14">
        <v>39232</v>
      </c>
      <c r="B527" s="13" t="s">
        <v>35</v>
      </c>
      <c r="C527" s="17"/>
      <c r="D527" s="49">
        <v>-70000</v>
      </c>
      <c r="E527" s="17"/>
      <c r="F527" s="31"/>
      <c r="G527" s="31"/>
      <c r="H527" s="32"/>
      <c r="J527" s="4">
        <f t="shared" si="44"/>
        <v>-41729867.5575</v>
      </c>
      <c r="K527" s="6">
        <f t="shared" si="42"/>
        <v>1</v>
      </c>
      <c r="L527" s="9">
        <f t="shared" si="43"/>
        <v>-22865.68085342466</v>
      </c>
    </row>
    <row r="528" spans="1:12" ht="12.75">
      <c r="A528" s="14">
        <v>39233</v>
      </c>
      <c r="B528" s="13" t="s">
        <v>35</v>
      </c>
      <c r="C528" s="17"/>
      <c r="D528" s="49">
        <v>-200000</v>
      </c>
      <c r="E528" s="17"/>
      <c r="F528" s="31"/>
      <c r="G528" s="31"/>
      <c r="H528" s="32"/>
      <c r="J528" s="4">
        <f t="shared" si="44"/>
        <v>-41929867.5575</v>
      </c>
      <c r="K528" s="6">
        <f aca="true" t="shared" si="45" ref="K528:K542">DATEDIF(A528,A529,"d")</f>
        <v>0</v>
      </c>
      <c r="L528" s="9">
        <f aca="true" t="shared" si="46" ref="L528:L542">J528*K528*0.2/365</f>
        <v>0</v>
      </c>
    </row>
    <row r="529" spans="1:12" ht="12.75">
      <c r="A529" s="14">
        <v>39233</v>
      </c>
      <c r="B529" s="13" t="s">
        <v>20</v>
      </c>
      <c r="C529" s="17"/>
      <c r="D529" s="49">
        <v>-349800</v>
      </c>
      <c r="E529" s="17"/>
      <c r="F529" s="31"/>
      <c r="G529" s="31"/>
      <c r="H529" s="32"/>
      <c r="J529" s="4">
        <f t="shared" si="44"/>
        <v>-42279667.5575</v>
      </c>
      <c r="K529" s="6">
        <f t="shared" si="45"/>
        <v>0</v>
      </c>
      <c r="L529" s="9">
        <f t="shared" si="46"/>
        <v>0</v>
      </c>
    </row>
    <row r="530" spans="1:12" ht="12.75">
      <c r="A530" s="14">
        <v>39233</v>
      </c>
      <c r="B530" s="13" t="s">
        <v>28</v>
      </c>
      <c r="C530" s="17"/>
      <c r="D530" s="49">
        <v>-157500</v>
      </c>
      <c r="E530" s="17"/>
      <c r="F530" s="31"/>
      <c r="G530" s="31"/>
      <c r="H530" s="32"/>
      <c r="J530" s="4">
        <f t="shared" si="44"/>
        <v>-42437167.5575</v>
      </c>
      <c r="K530" s="6">
        <f t="shared" si="45"/>
        <v>1</v>
      </c>
      <c r="L530" s="9">
        <f t="shared" si="46"/>
        <v>-23253.24249726027</v>
      </c>
    </row>
    <row r="531" spans="1:12" ht="12.75">
      <c r="A531" s="14">
        <v>39234</v>
      </c>
      <c r="B531" s="13" t="s">
        <v>36</v>
      </c>
      <c r="C531" s="17"/>
      <c r="D531" s="49">
        <v>-6825</v>
      </c>
      <c r="E531" s="17"/>
      <c r="F531" s="31"/>
      <c r="G531" s="31"/>
      <c r="H531" s="32"/>
      <c r="J531" s="4">
        <f t="shared" si="44"/>
        <v>-42443992.5575</v>
      </c>
      <c r="K531" s="6">
        <f t="shared" si="45"/>
        <v>1</v>
      </c>
      <c r="L531" s="9">
        <f t="shared" si="46"/>
        <v>-23256.98222328767</v>
      </c>
    </row>
    <row r="532" spans="1:12" ht="12.75">
      <c r="A532" s="14">
        <v>39235</v>
      </c>
      <c r="B532" s="47" t="s">
        <v>7</v>
      </c>
      <c r="D532" s="33"/>
      <c r="E532" s="17">
        <v>-64800</v>
      </c>
      <c r="F532" s="31"/>
      <c r="G532" s="31"/>
      <c r="H532" s="32"/>
      <c r="J532" s="4">
        <f t="shared" si="44"/>
        <v>-42508792.5575</v>
      </c>
      <c r="K532" s="6">
        <f t="shared" si="45"/>
        <v>1</v>
      </c>
      <c r="L532" s="9">
        <f t="shared" si="46"/>
        <v>-23292.489072602737</v>
      </c>
    </row>
    <row r="533" spans="1:13" ht="12.75">
      <c r="A533" s="14">
        <v>39236</v>
      </c>
      <c r="B533" s="47" t="s">
        <v>7</v>
      </c>
      <c r="D533" s="33"/>
      <c r="E533" s="17">
        <v>-21750</v>
      </c>
      <c r="F533" s="31"/>
      <c r="G533" s="31"/>
      <c r="H533" s="32"/>
      <c r="J533" s="4">
        <f t="shared" si="44"/>
        <v>-42530542.5575</v>
      </c>
      <c r="K533" s="6">
        <f t="shared" si="45"/>
        <v>1</v>
      </c>
      <c r="L533" s="9">
        <f t="shared" si="46"/>
        <v>-23304.406880821916</v>
      </c>
      <c r="M533" s="9"/>
    </row>
    <row r="534" spans="1:13" ht="12.75">
      <c r="A534" s="14">
        <v>39237</v>
      </c>
      <c r="B534" s="47" t="s">
        <v>95</v>
      </c>
      <c r="D534" s="49">
        <v>-550000</v>
      </c>
      <c r="E534" s="17"/>
      <c r="F534" s="31"/>
      <c r="G534" s="31"/>
      <c r="H534" s="32"/>
      <c r="J534" s="4">
        <f t="shared" si="44"/>
        <v>-43080542.5575</v>
      </c>
      <c r="K534" s="6">
        <f t="shared" si="45"/>
        <v>1</v>
      </c>
      <c r="L534" s="9">
        <f t="shared" si="46"/>
        <v>-23605.776743835613</v>
      </c>
      <c r="M534" s="9"/>
    </row>
    <row r="535" spans="1:13" ht="12.75">
      <c r="A535" s="14">
        <v>39238</v>
      </c>
      <c r="B535" s="13" t="s">
        <v>88</v>
      </c>
      <c r="D535" s="49">
        <v>-470000</v>
      </c>
      <c r="E535" s="17"/>
      <c r="F535" s="31"/>
      <c r="G535" s="31"/>
      <c r="H535" s="32"/>
      <c r="J535" s="4">
        <f t="shared" si="44"/>
        <v>-43550542.5575</v>
      </c>
      <c r="K535" s="6">
        <f t="shared" si="45"/>
        <v>0</v>
      </c>
      <c r="L535" s="9">
        <f t="shared" si="46"/>
        <v>0</v>
      </c>
      <c r="M535" s="9"/>
    </row>
    <row r="536" spans="1:13" ht="12.75">
      <c r="A536" s="77">
        <v>39238</v>
      </c>
      <c r="B536" s="84" t="s">
        <v>191</v>
      </c>
      <c r="C536" s="62"/>
      <c r="D536" s="83">
        <v>0</v>
      </c>
      <c r="E536" s="78"/>
      <c r="F536" s="79"/>
      <c r="G536" s="79"/>
      <c r="H536" s="80"/>
      <c r="I536" s="62"/>
      <c r="J536" s="85">
        <f t="shared" si="44"/>
        <v>-43550542.5575</v>
      </c>
      <c r="K536" s="6">
        <f t="shared" si="45"/>
        <v>0</v>
      </c>
      <c r="L536" s="9">
        <f t="shared" si="46"/>
        <v>0</v>
      </c>
      <c r="M536" s="9"/>
    </row>
    <row r="537" spans="1:13" ht="12.75">
      <c r="A537" s="14">
        <v>39238</v>
      </c>
      <c r="B537" s="13" t="s">
        <v>37</v>
      </c>
      <c r="D537" s="49"/>
      <c r="E537" s="17"/>
      <c r="F537" s="31"/>
      <c r="G537" s="49">
        <v>-44428.53</v>
      </c>
      <c r="H537" s="32"/>
      <c r="J537" s="4">
        <f t="shared" si="44"/>
        <v>-43594971.0875</v>
      </c>
      <c r="K537" s="6">
        <f t="shared" si="45"/>
        <v>0</v>
      </c>
      <c r="L537" s="9">
        <f t="shared" si="46"/>
        <v>0</v>
      </c>
      <c r="M537" s="9"/>
    </row>
    <row r="538" spans="1:13" ht="12.75">
      <c r="A538" s="14">
        <v>39238</v>
      </c>
      <c r="B538" s="13" t="s">
        <v>37</v>
      </c>
      <c r="D538" s="49"/>
      <c r="E538" s="17"/>
      <c r="F538" s="31"/>
      <c r="G538" s="49">
        <v>-31246.56</v>
      </c>
      <c r="H538" s="32"/>
      <c r="J538" s="4">
        <f t="shared" si="44"/>
        <v>-43626217.6475</v>
      </c>
      <c r="K538" s="6">
        <f t="shared" si="45"/>
        <v>0</v>
      </c>
      <c r="L538" s="9">
        <f t="shared" si="46"/>
        <v>0</v>
      </c>
      <c r="M538" s="9"/>
    </row>
    <row r="539" spans="1:13" ht="12.75">
      <c r="A539" s="14">
        <v>39238</v>
      </c>
      <c r="B539" s="13" t="s">
        <v>37</v>
      </c>
      <c r="D539" s="49"/>
      <c r="E539" s="17"/>
      <c r="F539" s="31"/>
      <c r="G539" s="49">
        <v>-4945.05</v>
      </c>
      <c r="H539" s="32"/>
      <c r="J539" s="4">
        <f t="shared" si="44"/>
        <v>-43631162.6975</v>
      </c>
      <c r="K539" s="6">
        <f t="shared" si="45"/>
        <v>0</v>
      </c>
      <c r="L539" s="9">
        <f t="shared" si="46"/>
        <v>0</v>
      </c>
      <c r="M539" s="9"/>
    </row>
    <row r="540" spans="1:13" ht="12.75">
      <c r="A540" s="14">
        <v>39238</v>
      </c>
      <c r="B540" s="13" t="s">
        <v>37</v>
      </c>
      <c r="D540" s="49"/>
      <c r="E540" s="17"/>
      <c r="F540" s="31"/>
      <c r="G540" s="49">
        <v>-5245.05</v>
      </c>
      <c r="H540" s="32"/>
      <c r="J540" s="4">
        <f t="shared" si="44"/>
        <v>-43636407.747499995</v>
      </c>
      <c r="K540" s="6">
        <f t="shared" si="45"/>
        <v>0</v>
      </c>
      <c r="L540" s="9">
        <f t="shared" si="46"/>
        <v>0</v>
      </c>
      <c r="M540" s="9"/>
    </row>
    <row r="541" spans="1:13" ht="12.75">
      <c r="A541" s="14">
        <v>39238</v>
      </c>
      <c r="B541" s="13" t="s">
        <v>37</v>
      </c>
      <c r="D541" s="49"/>
      <c r="E541" s="17"/>
      <c r="F541" s="31"/>
      <c r="G541" s="49">
        <v>-26996.33</v>
      </c>
      <c r="H541" s="32"/>
      <c r="J541" s="4">
        <f t="shared" si="44"/>
        <v>-43663404.07749999</v>
      </c>
      <c r="K541" s="6">
        <f t="shared" si="45"/>
        <v>0</v>
      </c>
      <c r="L541" s="9">
        <f t="shared" si="46"/>
        <v>0</v>
      </c>
      <c r="M541" s="9"/>
    </row>
    <row r="542" spans="1:13" ht="12.75">
      <c r="A542" s="14">
        <v>39238</v>
      </c>
      <c r="B542" s="13" t="s">
        <v>37</v>
      </c>
      <c r="D542" s="49"/>
      <c r="E542" s="17"/>
      <c r="F542" s="31"/>
      <c r="G542" s="49">
        <v>-19788.24</v>
      </c>
      <c r="H542" s="32"/>
      <c r="J542" s="4">
        <f t="shared" si="44"/>
        <v>-43683192.317499995</v>
      </c>
      <c r="K542" s="6">
        <f t="shared" si="45"/>
        <v>0</v>
      </c>
      <c r="L542" s="9">
        <f t="shared" si="46"/>
        <v>0</v>
      </c>
      <c r="M542" s="9"/>
    </row>
    <row r="543" spans="1:13" ht="12.75">
      <c r="A543" s="14">
        <v>39238</v>
      </c>
      <c r="B543" s="13" t="s">
        <v>37</v>
      </c>
      <c r="D543" s="49"/>
      <c r="E543" s="17"/>
      <c r="F543" s="31"/>
      <c r="G543" s="49">
        <v>-7411.45</v>
      </c>
      <c r="H543" s="32"/>
      <c r="J543" s="4">
        <f aca="true" t="shared" si="47" ref="J543:J552">J542+D543+E543+F543+G543+H543+I543</f>
        <v>-43690603.7675</v>
      </c>
      <c r="K543" s="6">
        <f aca="true" t="shared" si="48" ref="K543:K552">DATEDIF(A543,A544,"d")</f>
        <v>1</v>
      </c>
      <c r="L543" s="9">
        <f aca="true" t="shared" si="49" ref="L543:L552">J543*K543*0.2/365</f>
        <v>-23940.05685890411</v>
      </c>
      <c r="M543" s="9"/>
    </row>
    <row r="544" spans="1:13" ht="12.75">
      <c r="A544" s="14">
        <v>39239</v>
      </c>
      <c r="B544" s="13" t="s">
        <v>20</v>
      </c>
      <c r="D544" s="49">
        <v>-79500</v>
      </c>
      <c r="E544" s="17"/>
      <c r="F544" s="31"/>
      <c r="G544" s="49"/>
      <c r="H544" s="32"/>
      <c r="J544" s="4">
        <f t="shared" si="47"/>
        <v>-43770103.7675</v>
      </c>
      <c r="K544" s="6">
        <f t="shared" si="48"/>
        <v>0</v>
      </c>
      <c r="L544" s="9">
        <f t="shared" si="49"/>
        <v>0</v>
      </c>
      <c r="M544" s="9"/>
    </row>
    <row r="545" spans="1:13" ht="12.75">
      <c r="A545" s="14">
        <v>39239</v>
      </c>
      <c r="B545" s="13" t="s">
        <v>88</v>
      </c>
      <c r="D545" s="49">
        <v>-276500</v>
      </c>
      <c r="E545" s="17"/>
      <c r="F545" s="31"/>
      <c r="G545" s="49"/>
      <c r="H545" s="32"/>
      <c r="J545" s="4">
        <f t="shared" si="47"/>
        <v>-44046603.7675</v>
      </c>
      <c r="K545" s="6">
        <f t="shared" si="48"/>
        <v>0</v>
      </c>
      <c r="L545" s="9">
        <f t="shared" si="49"/>
        <v>0</v>
      </c>
      <c r="M545" s="9"/>
    </row>
    <row r="546" spans="1:13" ht="12.75">
      <c r="A546" s="14">
        <v>39239</v>
      </c>
      <c r="B546" s="13" t="s">
        <v>153</v>
      </c>
      <c r="D546" s="49">
        <v>-27050</v>
      </c>
      <c r="E546" s="17"/>
      <c r="F546" s="31"/>
      <c r="G546" s="49"/>
      <c r="H546" s="32"/>
      <c r="J546" s="4">
        <f t="shared" si="47"/>
        <v>-44073653.7675</v>
      </c>
      <c r="K546" s="6">
        <f t="shared" si="48"/>
        <v>0</v>
      </c>
      <c r="L546" s="9">
        <f t="shared" si="49"/>
        <v>0</v>
      </c>
      <c r="M546" s="9"/>
    </row>
    <row r="547" spans="1:13" ht="12.75">
      <c r="A547" s="14">
        <v>39239</v>
      </c>
      <c r="B547" s="13" t="s">
        <v>153</v>
      </c>
      <c r="D547" s="49">
        <v>-4131.55</v>
      </c>
      <c r="E547" s="17"/>
      <c r="F547" s="31"/>
      <c r="G547" s="49"/>
      <c r="H547" s="32"/>
      <c r="J547" s="4">
        <f t="shared" si="47"/>
        <v>-44077785.317499995</v>
      </c>
      <c r="K547" s="6">
        <f t="shared" si="48"/>
        <v>0</v>
      </c>
      <c r="L547" s="9">
        <f t="shared" si="49"/>
        <v>0</v>
      </c>
      <c r="M547" s="9"/>
    </row>
    <row r="548" spans="1:13" ht="12.75">
      <c r="A548" s="14">
        <v>39239</v>
      </c>
      <c r="B548" s="13" t="s">
        <v>20</v>
      </c>
      <c r="D548" s="49">
        <v>-53000</v>
      </c>
      <c r="E548" s="17"/>
      <c r="F548" s="31"/>
      <c r="G548" s="49"/>
      <c r="H548" s="32"/>
      <c r="J548" s="4">
        <f t="shared" si="47"/>
        <v>-44130785.317499995</v>
      </c>
      <c r="K548" s="6">
        <f t="shared" si="48"/>
        <v>0</v>
      </c>
      <c r="L548" s="9">
        <f t="shared" si="49"/>
        <v>0</v>
      </c>
      <c r="M548" s="9"/>
    </row>
    <row r="549" spans="1:13" ht="12.75">
      <c r="A549" s="14">
        <v>39239</v>
      </c>
      <c r="B549" s="13" t="s">
        <v>28</v>
      </c>
      <c r="D549" s="49">
        <v>-21000</v>
      </c>
      <c r="E549" s="17"/>
      <c r="F549" s="31"/>
      <c r="G549" s="49"/>
      <c r="H549" s="32"/>
      <c r="J549" s="4">
        <f t="shared" si="47"/>
        <v>-44151785.317499995</v>
      </c>
      <c r="K549" s="6">
        <f t="shared" si="48"/>
        <v>0</v>
      </c>
      <c r="L549" s="9">
        <f t="shared" si="49"/>
        <v>0</v>
      </c>
      <c r="M549" s="9"/>
    </row>
    <row r="550" spans="1:13" ht="12.75">
      <c r="A550" s="14">
        <v>39239</v>
      </c>
      <c r="B550" s="13" t="s">
        <v>37</v>
      </c>
      <c r="D550" s="49"/>
      <c r="E550" s="17"/>
      <c r="F550" s="31"/>
      <c r="G550" s="49">
        <v>-377</v>
      </c>
      <c r="H550" s="32"/>
      <c r="J550" s="4">
        <f t="shared" si="47"/>
        <v>-44152162.317499995</v>
      </c>
      <c r="K550" s="6">
        <f t="shared" si="48"/>
        <v>0</v>
      </c>
      <c r="L550" s="9">
        <f t="shared" si="49"/>
        <v>0</v>
      </c>
      <c r="M550" s="9"/>
    </row>
    <row r="551" spans="1:13" ht="12.75">
      <c r="A551" s="14">
        <v>39239</v>
      </c>
      <c r="B551" s="13" t="s">
        <v>37</v>
      </c>
      <c r="D551" s="49"/>
      <c r="E551" s="17"/>
      <c r="F551" s="31"/>
      <c r="G551" s="49">
        <v>-4945.05</v>
      </c>
      <c r="H551" s="32"/>
      <c r="J551" s="4">
        <f t="shared" si="47"/>
        <v>-44157107.36749999</v>
      </c>
      <c r="K551" s="6">
        <f t="shared" si="48"/>
        <v>0</v>
      </c>
      <c r="L551" s="9">
        <f t="shared" si="49"/>
        <v>0</v>
      </c>
      <c r="M551" s="9"/>
    </row>
    <row r="552" spans="1:13" ht="12.75">
      <c r="A552" s="14">
        <v>39239</v>
      </c>
      <c r="B552" s="13" t="s">
        <v>37</v>
      </c>
      <c r="D552" s="49"/>
      <c r="E552" s="17"/>
      <c r="F552" s="31"/>
      <c r="G552" s="49">
        <v>-14490</v>
      </c>
      <c r="H552" s="32"/>
      <c r="J552" s="4">
        <f t="shared" si="47"/>
        <v>-44171597.36749999</v>
      </c>
      <c r="K552" s="6">
        <f t="shared" si="48"/>
        <v>0</v>
      </c>
      <c r="L552" s="9">
        <f t="shared" si="49"/>
        <v>0</v>
      </c>
      <c r="M552" s="9"/>
    </row>
    <row r="553" spans="1:13" ht="12.75">
      <c r="A553" s="14">
        <v>39239</v>
      </c>
      <c r="B553" s="13" t="s">
        <v>37</v>
      </c>
      <c r="D553" s="49"/>
      <c r="E553" s="17"/>
      <c r="F553" s="31"/>
      <c r="G553" s="49">
        <v>-384.62</v>
      </c>
      <c r="H553" s="32"/>
      <c r="J553" s="4">
        <f aca="true" t="shared" si="50" ref="J553:J563">J552+D553+E553+F553+G553+H553+I553</f>
        <v>-44171981.98749999</v>
      </c>
      <c r="K553" s="6">
        <f aca="true" t="shared" si="51" ref="K553:K563">DATEDIF(A553,A554,"d")</f>
        <v>0</v>
      </c>
      <c r="L553" s="9">
        <f aca="true" t="shared" si="52" ref="L553:L563">J553*K553*0.2/365</f>
        <v>0</v>
      </c>
      <c r="M553" s="9"/>
    </row>
    <row r="554" spans="1:13" ht="12.75">
      <c r="A554" s="14">
        <v>39239</v>
      </c>
      <c r="B554" s="13" t="s">
        <v>37</v>
      </c>
      <c r="D554" s="49"/>
      <c r="E554" s="17"/>
      <c r="F554" s="31"/>
      <c r="G554" s="49">
        <v>-72450</v>
      </c>
      <c r="H554" s="32"/>
      <c r="J554" s="4">
        <f t="shared" si="50"/>
        <v>-44244431.98749999</v>
      </c>
      <c r="K554" s="6">
        <f t="shared" si="51"/>
        <v>0</v>
      </c>
      <c r="L554" s="9">
        <f t="shared" si="52"/>
        <v>0</v>
      </c>
      <c r="M554" s="9"/>
    </row>
    <row r="555" spans="1:13" ht="12.75">
      <c r="A555" s="14">
        <v>39239</v>
      </c>
      <c r="B555" s="13" t="s">
        <v>37</v>
      </c>
      <c r="D555" s="49"/>
      <c r="E555" s="17"/>
      <c r="F555" s="31"/>
      <c r="G555" s="49">
        <v>-107120</v>
      </c>
      <c r="H555" s="32"/>
      <c r="J555" s="4">
        <f t="shared" si="50"/>
        <v>-44351551.98749999</v>
      </c>
      <c r="K555" s="6">
        <f t="shared" si="51"/>
        <v>0</v>
      </c>
      <c r="L555" s="9">
        <f t="shared" si="52"/>
        <v>0</v>
      </c>
      <c r="M555" s="9"/>
    </row>
    <row r="556" spans="1:13" ht="12.75">
      <c r="A556" s="14">
        <v>39239</v>
      </c>
      <c r="B556" s="13" t="s">
        <v>37</v>
      </c>
      <c r="D556" s="49"/>
      <c r="E556" s="17"/>
      <c r="F556" s="31"/>
      <c r="G556" s="49">
        <v>-5325</v>
      </c>
      <c r="H556" s="32"/>
      <c r="J556" s="4">
        <f t="shared" si="50"/>
        <v>-44356876.98749999</v>
      </c>
      <c r="K556" s="6">
        <f t="shared" si="51"/>
        <v>0</v>
      </c>
      <c r="L556" s="9">
        <f t="shared" si="52"/>
        <v>0</v>
      </c>
      <c r="M556" s="9"/>
    </row>
    <row r="557" spans="1:13" ht="12.75">
      <c r="A557" s="14">
        <v>39239</v>
      </c>
      <c r="B557" s="13" t="s">
        <v>37</v>
      </c>
      <c r="D557" s="49"/>
      <c r="E557" s="17"/>
      <c r="F557" s="31"/>
      <c r="G557" s="49">
        <v>-5625</v>
      </c>
      <c r="H557" s="32"/>
      <c r="J557" s="4">
        <f t="shared" si="50"/>
        <v>-44362501.98749999</v>
      </c>
      <c r="K557" s="6">
        <f t="shared" si="51"/>
        <v>0</v>
      </c>
      <c r="L557" s="9">
        <f t="shared" si="52"/>
        <v>0</v>
      </c>
      <c r="M557" s="9"/>
    </row>
    <row r="558" spans="1:13" ht="12.75">
      <c r="A558" s="14">
        <v>39239</v>
      </c>
      <c r="B558" s="13" t="s">
        <v>37</v>
      </c>
      <c r="D558" s="49"/>
      <c r="E558" s="17"/>
      <c r="F558" s="31"/>
      <c r="G558" s="49">
        <v>-6100</v>
      </c>
      <c r="H558" s="32"/>
      <c r="J558" s="4">
        <f t="shared" si="50"/>
        <v>-44368601.98749999</v>
      </c>
      <c r="K558" s="6">
        <f t="shared" si="51"/>
        <v>0</v>
      </c>
      <c r="L558" s="9">
        <f t="shared" si="52"/>
        <v>0</v>
      </c>
      <c r="M558" s="9"/>
    </row>
    <row r="559" spans="1:13" ht="12.75">
      <c r="A559" s="14">
        <v>39239</v>
      </c>
      <c r="B559" s="13" t="s">
        <v>37</v>
      </c>
      <c r="D559" s="49"/>
      <c r="E559" s="17"/>
      <c r="F559" s="31"/>
      <c r="G559" s="49">
        <v>-7500</v>
      </c>
      <c r="H559" s="32"/>
      <c r="J559" s="4">
        <f t="shared" si="50"/>
        <v>-44376101.98749999</v>
      </c>
      <c r="K559" s="6">
        <f t="shared" si="51"/>
        <v>0</v>
      </c>
      <c r="L559" s="9">
        <f t="shared" si="52"/>
        <v>0</v>
      </c>
      <c r="M559" s="9"/>
    </row>
    <row r="560" spans="1:13" ht="12.75">
      <c r="A560" s="14">
        <v>39239</v>
      </c>
      <c r="B560" s="13" t="s">
        <v>37</v>
      </c>
      <c r="D560" s="49"/>
      <c r="E560" s="17"/>
      <c r="F560" s="31"/>
      <c r="G560" s="49">
        <v>-930</v>
      </c>
      <c r="H560" s="32"/>
      <c r="J560" s="4">
        <f t="shared" si="50"/>
        <v>-44377031.98749999</v>
      </c>
      <c r="K560" s="6">
        <f t="shared" si="51"/>
        <v>0</v>
      </c>
      <c r="L560" s="9">
        <f t="shared" si="52"/>
        <v>0</v>
      </c>
      <c r="M560" s="9"/>
    </row>
    <row r="561" spans="1:13" ht="12.75">
      <c r="A561" s="14">
        <v>39239</v>
      </c>
      <c r="B561" s="13" t="s">
        <v>37</v>
      </c>
      <c r="D561" s="49"/>
      <c r="E561" s="17"/>
      <c r="F561" s="31"/>
      <c r="G561" s="49">
        <v>-5291</v>
      </c>
      <c r="H561" s="32"/>
      <c r="J561" s="4">
        <f t="shared" si="50"/>
        <v>-44382322.98749999</v>
      </c>
      <c r="K561" s="6">
        <f t="shared" si="51"/>
        <v>0</v>
      </c>
      <c r="L561" s="9">
        <f t="shared" si="52"/>
        <v>0</v>
      </c>
      <c r="M561" s="9"/>
    </row>
    <row r="562" spans="1:13" ht="12.75">
      <c r="A562" s="14">
        <v>39239</v>
      </c>
      <c r="B562" s="13" t="s">
        <v>37</v>
      </c>
      <c r="D562" s="49"/>
      <c r="E562" s="17"/>
      <c r="F562" s="31"/>
      <c r="G562" s="49">
        <v>-6755</v>
      </c>
      <c r="H562" s="32"/>
      <c r="J562" s="4">
        <f t="shared" si="50"/>
        <v>-44389077.98749999</v>
      </c>
      <c r="K562" s="6">
        <f t="shared" si="51"/>
        <v>0</v>
      </c>
      <c r="L562" s="9">
        <f t="shared" si="52"/>
        <v>0</v>
      </c>
      <c r="M562" s="9"/>
    </row>
    <row r="563" spans="1:13" ht="12.75">
      <c r="A563" s="14">
        <v>39239</v>
      </c>
      <c r="B563" s="13" t="s">
        <v>37</v>
      </c>
      <c r="D563" s="49"/>
      <c r="E563" s="17"/>
      <c r="F563" s="31"/>
      <c r="G563" s="49">
        <v>-5616</v>
      </c>
      <c r="H563" s="32"/>
      <c r="J563" s="4">
        <f t="shared" si="50"/>
        <v>-44394693.98749999</v>
      </c>
      <c r="K563" s="6">
        <f t="shared" si="51"/>
        <v>0</v>
      </c>
      <c r="L563" s="9">
        <f t="shared" si="52"/>
        <v>0</v>
      </c>
      <c r="M563" s="9"/>
    </row>
    <row r="564" spans="1:13" ht="12.75">
      <c r="A564" s="14">
        <v>39239</v>
      </c>
      <c r="B564" s="13" t="s">
        <v>37</v>
      </c>
      <c r="D564" s="49"/>
      <c r="E564" s="17"/>
      <c r="F564" s="31"/>
      <c r="G564" s="49">
        <v>-26026.6</v>
      </c>
      <c r="H564" s="32"/>
      <c r="J564" s="4">
        <f aca="true" t="shared" si="53" ref="J564:J569">J563+D564+E564+F564+G564+H564+I564</f>
        <v>-44420720.58749999</v>
      </c>
      <c r="K564" s="6">
        <f aca="true" t="shared" si="54" ref="K564:K569">DATEDIF(A564,A565,"d")</f>
        <v>0</v>
      </c>
      <c r="L564" s="9">
        <f aca="true" t="shared" si="55" ref="L564:L569">J564*K564*0.2/365</f>
        <v>0</v>
      </c>
      <c r="M564" s="9"/>
    </row>
    <row r="565" spans="1:13" ht="12.75">
      <c r="A565" s="14">
        <v>39239</v>
      </c>
      <c r="B565" s="13" t="s">
        <v>37</v>
      </c>
      <c r="D565" s="49"/>
      <c r="E565" s="17"/>
      <c r="F565" s="31"/>
      <c r="G565" s="49">
        <v>-22277.47</v>
      </c>
      <c r="H565" s="32"/>
      <c r="J565" s="4">
        <f t="shared" si="53"/>
        <v>-44442998.05749999</v>
      </c>
      <c r="K565" s="6">
        <f t="shared" si="54"/>
        <v>2</v>
      </c>
      <c r="L565" s="9">
        <f t="shared" si="55"/>
        <v>-48704.65540547945</v>
      </c>
      <c r="M565" s="9"/>
    </row>
    <row r="566" spans="1:13" ht="12.75">
      <c r="A566" s="14">
        <v>39241</v>
      </c>
      <c r="B566" s="13" t="s">
        <v>152</v>
      </c>
      <c r="D566" s="49"/>
      <c r="E566" s="17"/>
      <c r="F566" s="49">
        <v>-971.67</v>
      </c>
      <c r="G566" s="49"/>
      <c r="H566" s="32"/>
      <c r="J566" s="4">
        <f t="shared" si="53"/>
        <v>-44443969.72749999</v>
      </c>
      <c r="K566" s="6">
        <f t="shared" si="54"/>
        <v>0</v>
      </c>
      <c r="L566" s="9">
        <f t="shared" si="55"/>
        <v>0</v>
      </c>
      <c r="M566" s="9"/>
    </row>
    <row r="567" spans="1:13" ht="12.75">
      <c r="A567" s="14">
        <v>39241</v>
      </c>
      <c r="B567" s="13" t="s">
        <v>152</v>
      </c>
      <c r="D567" s="49"/>
      <c r="E567" s="17"/>
      <c r="F567" s="49">
        <v>-60201.81</v>
      </c>
      <c r="G567" s="49"/>
      <c r="H567" s="32"/>
      <c r="J567" s="4">
        <f t="shared" si="53"/>
        <v>-44504171.537499994</v>
      </c>
      <c r="K567" s="6">
        <f t="shared" si="54"/>
        <v>0</v>
      </c>
      <c r="L567" s="9">
        <f t="shared" si="55"/>
        <v>0</v>
      </c>
      <c r="M567" s="9"/>
    </row>
    <row r="568" spans="1:13" ht="12.75">
      <c r="A568" s="14">
        <v>39241</v>
      </c>
      <c r="B568" s="13" t="s">
        <v>152</v>
      </c>
      <c r="D568" s="49"/>
      <c r="E568" s="17"/>
      <c r="F568" s="49">
        <v>-5072.87</v>
      </c>
      <c r="G568" s="49"/>
      <c r="H568" s="32"/>
      <c r="J568" s="4">
        <f t="shared" si="53"/>
        <v>-44509244.40749999</v>
      </c>
      <c r="K568" s="6">
        <f t="shared" si="54"/>
        <v>0</v>
      </c>
      <c r="L568" s="9">
        <f t="shared" si="55"/>
        <v>0</v>
      </c>
      <c r="M568" s="9"/>
    </row>
    <row r="569" spans="1:13" ht="12.75">
      <c r="A569" s="14">
        <v>39241</v>
      </c>
      <c r="B569" s="13" t="s">
        <v>152</v>
      </c>
      <c r="D569" s="49"/>
      <c r="E569" s="17"/>
      <c r="F569" s="49">
        <v>-83007.01</v>
      </c>
      <c r="G569" s="49"/>
      <c r="H569" s="32"/>
      <c r="J569" s="4">
        <f t="shared" si="53"/>
        <v>-44592251.41749999</v>
      </c>
      <c r="K569" s="6">
        <f t="shared" si="54"/>
        <v>0</v>
      </c>
      <c r="L569" s="9">
        <f t="shared" si="55"/>
        <v>0</v>
      </c>
      <c r="M569" s="9"/>
    </row>
    <row r="570" spans="1:13" ht="12.75">
      <c r="A570" s="14">
        <v>39241</v>
      </c>
      <c r="B570" s="13" t="s">
        <v>152</v>
      </c>
      <c r="D570" s="49"/>
      <c r="E570" s="17"/>
      <c r="F570" s="49">
        <v>-3143</v>
      </c>
      <c r="G570" s="49"/>
      <c r="H570" s="32"/>
      <c r="J570" s="4">
        <f aca="true" t="shared" si="56" ref="J570:J602">J569+D570+E570+F570+G570+H570+I570</f>
        <v>-44595394.41749999</v>
      </c>
      <c r="K570" s="6">
        <f aca="true" t="shared" si="57" ref="K570:K602">DATEDIF(A570,A571,"d")</f>
        <v>0</v>
      </c>
      <c r="L570" s="9">
        <f aca="true" t="shared" si="58" ref="L570:L602">J570*K570*0.2/365</f>
        <v>0</v>
      </c>
      <c r="M570" s="9"/>
    </row>
    <row r="571" spans="1:13" ht="12.75">
      <c r="A571" s="14">
        <v>39241</v>
      </c>
      <c r="B571" s="13" t="s">
        <v>152</v>
      </c>
      <c r="D571" s="49"/>
      <c r="E571" s="17"/>
      <c r="F571" s="49">
        <v>-19281.84</v>
      </c>
      <c r="G571" s="49"/>
      <c r="H571" s="32"/>
      <c r="J571" s="4">
        <f t="shared" si="56"/>
        <v>-44614676.25749999</v>
      </c>
      <c r="K571" s="6">
        <f t="shared" si="57"/>
        <v>0</v>
      </c>
      <c r="L571" s="9">
        <f t="shared" si="58"/>
        <v>0</v>
      </c>
      <c r="M571" s="9"/>
    </row>
    <row r="572" spans="1:13" ht="12.75">
      <c r="A572" s="14">
        <v>39241</v>
      </c>
      <c r="B572" s="13" t="s">
        <v>152</v>
      </c>
      <c r="D572" s="49"/>
      <c r="E572" s="17"/>
      <c r="F572" s="49">
        <v>-6037.5</v>
      </c>
      <c r="G572" s="49"/>
      <c r="H572" s="32"/>
      <c r="J572" s="4">
        <f t="shared" si="56"/>
        <v>-44620713.75749999</v>
      </c>
      <c r="K572" s="6">
        <f t="shared" si="57"/>
        <v>0</v>
      </c>
      <c r="L572" s="9">
        <f t="shared" si="58"/>
        <v>0</v>
      </c>
      <c r="M572" s="9"/>
    </row>
    <row r="573" spans="1:13" ht="12.75">
      <c r="A573" s="14">
        <v>39241</v>
      </c>
      <c r="B573" s="13" t="s">
        <v>152</v>
      </c>
      <c r="D573" s="49"/>
      <c r="E573" s="17"/>
      <c r="F573" s="49">
        <v>-19092</v>
      </c>
      <c r="G573" s="49"/>
      <c r="H573" s="32"/>
      <c r="J573" s="4">
        <f t="shared" si="56"/>
        <v>-44639805.75749999</v>
      </c>
      <c r="K573" s="6">
        <f t="shared" si="57"/>
        <v>0</v>
      </c>
      <c r="L573" s="9">
        <f t="shared" si="58"/>
        <v>0</v>
      </c>
      <c r="M573" s="9"/>
    </row>
    <row r="574" spans="1:13" ht="12.75">
      <c r="A574" s="14">
        <v>39241</v>
      </c>
      <c r="B574" s="13" t="s">
        <v>152</v>
      </c>
      <c r="D574" s="49"/>
      <c r="E574" s="17"/>
      <c r="F574" s="49">
        <v>-4300.95</v>
      </c>
      <c r="G574" s="49"/>
      <c r="H574" s="32"/>
      <c r="J574" s="4">
        <f t="shared" si="56"/>
        <v>-44644106.707499996</v>
      </c>
      <c r="K574" s="6">
        <f t="shared" si="57"/>
        <v>0</v>
      </c>
      <c r="L574" s="9">
        <f t="shared" si="58"/>
        <v>0</v>
      </c>
      <c r="M574" s="9"/>
    </row>
    <row r="575" spans="1:13" ht="12.75">
      <c r="A575" s="14">
        <v>39241</v>
      </c>
      <c r="B575" s="13" t="s">
        <v>152</v>
      </c>
      <c r="D575" s="49"/>
      <c r="E575" s="17"/>
      <c r="F575" s="49">
        <v>-4237.48</v>
      </c>
      <c r="G575" s="49"/>
      <c r="H575" s="32"/>
      <c r="J575" s="4">
        <f t="shared" si="56"/>
        <v>-44648344.18749999</v>
      </c>
      <c r="K575" s="6">
        <f t="shared" si="57"/>
        <v>0</v>
      </c>
      <c r="L575" s="9">
        <f t="shared" si="58"/>
        <v>0</v>
      </c>
      <c r="M575" s="9"/>
    </row>
    <row r="576" spans="1:13" ht="12.75">
      <c r="A576" s="14">
        <v>39241</v>
      </c>
      <c r="B576" s="13" t="s">
        <v>152</v>
      </c>
      <c r="D576" s="49"/>
      <c r="E576" s="17"/>
      <c r="F576" s="49">
        <v>-13113.65</v>
      </c>
      <c r="G576" s="49"/>
      <c r="H576" s="32"/>
      <c r="J576" s="4">
        <f t="shared" si="56"/>
        <v>-44661457.83749999</v>
      </c>
      <c r="K576" s="6">
        <f t="shared" si="57"/>
        <v>0</v>
      </c>
      <c r="L576" s="9">
        <f t="shared" si="58"/>
        <v>0</v>
      </c>
      <c r="M576" s="9"/>
    </row>
    <row r="577" spans="1:13" ht="12.75">
      <c r="A577" s="14">
        <v>39241</v>
      </c>
      <c r="B577" s="13" t="s">
        <v>152</v>
      </c>
      <c r="D577" s="49"/>
      <c r="E577" s="17"/>
      <c r="F577" s="49">
        <v>-1497.5</v>
      </c>
      <c r="G577" s="49"/>
      <c r="H577" s="32"/>
      <c r="J577" s="4">
        <f t="shared" si="56"/>
        <v>-44662955.33749999</v>
      </c>
      <c r="K577" s="6">
        <f t="shared" si="57"/>
        <v>0</v>
      </c>
      <c r="L577" s="9">
        <f t="shared" si="58"/>
        <v>0</v>
      </c>
      <c r="M577" s="9"/>
    </row>
    <row r="578" spans="1:13" ht="12.75">
      <c r="A578" s="14">
        <v>39241</v>
      </c>
      <c r="B578" s="13" t="s">
        <v>152</v>
      </c>
      <c r="D578" s="49"/>
      <c r="E578" s="17"/>
      <c r="F578" s="49">
        <v>-10306.01</v>
      </c>
      <c r="G578" s="49"/>
      <c r="H578" s="32"/>
      <c r="J578" s="4">
        <f t="shared" si="56"/>
        <v>-44673261.34749999</v>
      </c>
      <c r="K578" s="6">
        <f t="shared" si="57"/>
        <v>0</v>
      </c>
      <c r="L578" s="9">
        <f t="shared" si="58"/>
        <v>0</v>
      </c>
      <c r="M578" s="9"/>
    </row>
    <row r="579" spans="1:14" ht="12.75">
      <c r="A579" s="14">
        <v>39241</v>
      </c>
      <c r="B579" s="13" t="s">
        <v>152</v>
      </c>
      <c r="D579" s="49"/>
      <c r="E579" s="17"/>
      <c r="F579" s="49">
        <v>-17924.09</v>
      </c>
      <c r="G579" s="49"/>
      <c r="H579" s="32"/>
      <c r="J579" s="4">
        <f t="shared" si="56"/>
        <v>-44691185.43749999</v>
      </c>
      <c r="K579" s="6">
        <f t="shared" si="57"/>
        <v>0</v>
      </c>
      <c r="L579" s="9">
        <f t="shared" si="58"/>
        <v>0</v>
      </c>
      <c r="M579" s="9"/>
      <c r="N579" s="51"/>
    </row>
    <row r="580" spans="1:13" ht="12.75">
      <c r="A580" s="14">
        <v>39241</v>
      </c>
      <c r="B580" s="13" t="s">
        <v>152</v>
      </c>
      <c r="D580" s="49"/>
      <c r="E580" s="17"/>
      <c r="F580" s="49">
        <v>-245</v>
      </c>
      <c r="G580" s="49"/>
      <c r="H580" s="32"/>
      <c r="J580" s="4">
        <f t="shared" si="56"/>
        <v>-44691430.43749999</v>
      </c>
      <c r="K580" s="6">
        <f t="shared" si="57"/>
        <v>0</v>
      </c>
      <c r="L580" s="9">
        <f t="shared" si="58"/>
        <v>0</v>
      </c>
      <c r="M580" s="9"/>
    </row>
    <row r="581" spans="1:13" ht="12.75">
      <c r="A581" s="23">
        <v>39241</v>
      </c>
      <c r="B581" s="13" t="s">
        <v>152</v>
      </c>
      <c r="D581" s="15"/>
      <c r="E581" s="17"/>
      <c r="F581" s="15">
        <v>-19498.66</v>
      </c>
      <c r="G581" s="15"/>
      <c r="H581" s="32"/>
      <c r="J581" s="4">
        <f t="shared" si="56"/>
        <v>-44710929.09749999</v>
      </c>
      <c r="K581" s="6">
        <f t="shared" si="57"/>
        <v>0</v>
      </c>
      <c r="L581" s="9">
        <f t="shared" si="58"/>
        <v>0</v>
      </c>
      <c r="M581" s="9"/>
    </row>
    <row r="582" spans="1:13" ht="12.75">
      <c r="A582" s="14">
        <v>39241</v>
      </c>
      <c r="B582" s="13" t="s">
        <v>152</v>
      </c>
      <c r="D582" s="49"/>
      <c r="E582" s="17"/>
      <c r="F582" s="49">
        <v>-1712.62</v>
      </c>
      <c r="G582" s="49"/>
      <c r="H582" s="32"/>
      <c r="J582" s="4">
        <f t="shared" si="56"/>
        <v>-44712641.71749999</v>
      </c>
      <c r="K582" s="6">
        <f t="shared" si="57"/>
        <v>0</v>
      </c>
      <c r="L582" s="9">
        <f t="shared" si="58"/>
        <v>0</v>
      </c>
      <c r="M582" s="9"/>
    </row>
    <row r="583" spans="1:13" ht="12.75">
      <c r="A583" s="14">
        <v>39241</v>
      </c>
      <c r="B583" s="13" t="s">
        <v>152</v>
      </c>
      <c r="D583" s="49"/>
      <c r="E583" s="17"/>
      <c r="F583" s="49">
        <v>-8865.71</v>
      </c>
      <c r="G583" s="49"/>
      <c r="H583" s="32"/>
      <c r="J583" s="4">
        <f t="shared" si="56"/>
        <v>-44721507.42749999</v>
      </c>
      <c r="K583" s="6">
        <f t="shared" si="57"/>
        <v>0</v>
      </c>
      <c r="L583" s="9">
        <f t="shared" si="58"/>
        <v>0</v>
      </c>
      <c r="M583" s="9"/>
    </row>
    <row r="584" spans="1:13" ht="12.75">
      <c r="A584" s="14">
        <v>39241</v>
      </c>
      <c r="B584" s="13" t="s">
        <v>152</v>
      </c>
      <c r="D584" s="49"/>
      <c r="E584" s="17"/>
      <c r="F584" s="49">
        <v>-9819.05</v>
      </c>
      <c r="G584" s="49"/>
      <c r="H584" s="32"/>
      <c r="J584" s="4">
        <f t="shared" si="56"/>
        <v>-44731326.477499984</v>
      </c>
      <c r="K584" s="6">
        <f t="shared" si="57"/>
        <v>0</v>
      </c>
      <c r="L584" s="9">
        <f t="shared" si="58"/>
        <v>0</v>
      </c>
      <c r="M584" s="9"/>
    </row>
    <row r="585" spans="1:13" ht="12.75">
      <c r="A585" s="14">
        <v>39241</v>
      </c>
      <c r="B585" s="13" t="s">
        <v>152</v>
      </c>
      <c r="D585" s="49"/>
      <c r="E585" s="17"/>
      <c r="F585" s="49">
        <v>-5030.49</v>
      </c>
      <c r="G585" s="49"/>
      <c r="H585" s="32"/>
      <c r="J585" s="4">
        <f t="shared" si="56"/>
        <v>-44736356.96749999</v>
      </c>
      <c r="K585" s="6">
        <f t="shared" si="57"/>
        <v>0</v>
      </c>
      <c r="L585" s="9">
        <f t="shared" si="58"/>
        <v>0</v>
      </c>
      <c r="M585" s="9"/>
    </row>
    <row r="586" spans="1:13" ht="12.75">
      <c r="A586" s="14">
        <v>39241</v>
      </c>
      <c r="B586" s="13" t="s">
        <v>152</v>
      </c>
      <c r="D586" s="49"/>
      <c r="E586" s="17"/>
      <c r="F586" s="49">
        <v>-4474.23</v>
      </c>
      <c r="G586" s="49"/>
      <c r="H586" s="32"/>
      <c r="J586" s="4">
        <f t="shared" si="56"/>
        <v>-44740831.19749998</v>
      </c>
      <c r="K586" s="6">
        <f t="shared" si="57"/>
        <v>0</v>
      </c>
      <c r="L586" s="9">
        <f t="shared" si="58"/>
        <v>0</v>
      </c>
      <c r="M586" s="9"/>
    </row>
    <row r="587" spans="1:13" ht="12.75">
      <c r="A587" s="14">
        <v>39241</v>
      </c>
      <c r="B587" s="13" t="s">
        <v>152</v>
      </c>
      <c r="D587" s="49"/>
      <c r="E587" s="17"/>
      <c r="F587" s="49">
        <v>-5226.95</v>
      </c>
      <c r="G587" s="49"/>
      <c r="H587" s="32"/>
      <c r="J587" s="4">
        <f t="shared" si="56"/>
        <v>-44746058.147499986</v>
      </c>
      <c r="K587" s="6">
        <f t="shared" si="57"/>
        <v>0</v>
      </c>
      <c r="L587" s="9">
        <f t="shared" si="58"/>
        <v>0</v>
      </c>
      <c r="M587" s="9"/>
    </row>
    <row r="588" spans="1:13" ht="12.75">
      <c r="A588" s="14">
        <v>39241</v>
      </c>
      <c r="B588" s="13" t="s">
        <v>152</v>
      </c>
      <c r="D588" s="49"/>
      <c r="E588" s="17"/>
      <c r="F588" s="49">
        <v>-1045.6</v>
      </c>
      <c r="G588" s="49"/>
      <c r="H588" s="32"/>
      <c r="J588" s="4">
        <f t="shared" si="56"/>
        <v>-44747103.74749999</v>
      </c>
      <c r="K588" s="6">
        <f t="shared" si="57"/>
        <v>0</v>
      </c>
      <c r="L588" s="9">
        <f t="shared" si="58"/>
        <v>0</v>
      </c>
      <c r="M588" s="9"/>
    </row>
    <row r="589" spans="1:13" ht="12.75">
      <c r="A589" s="14">
        <v>39241</v>
      </c>
      <c r="B589" s="13" t="s">
        <v>152</v>
      </c>
      <c r="D589" s="49"/>
      <c r="E589" s="17"/>
      <c r="F589" s="49">
        <v>-45733.75</v>
      </c>
      <c r="G589" s="49"/>
      <c r="H589" s="32"/>
      <c r="J589" s="4">
        <f t="shared" si="56"/>
        <v>-44792837.49749999</v>
      </c>
      <c r="K589" s="6">
        <f t="shared" si="57"/>
        <v>0</v>
      </c>
      <c r="L589" s="9">
        <f t="shared" si="58"/>
        <v>0</v>
      </c>
      <c r="M589" s="9"/>
    </row>
    <row r="590" spans="1:13" ht="12.75">
      <c r="A590" s="14">
        <v>39241</v>
      </c>
      <c r="B590" s="13" t="s">
        <v>152</v>
      </c>
      <c r="D590" s="49"/>
      <c r="E590" s="17"/>
      <c r="F590" s="49">
        <v>-21363.75</v>
      </c>
      <c r="G590" s="49"/>
      <c r="H590" s="32"/>
      <c r="J590" s="4">
        <f t="shared" si="56"/>
        <v>-44814201.24749999</v>
      </c>
      <c r="K590" s="6">
        <f t="shared" si="57"/>
        <v>0</v>
      </c>
      <c r="L590" s="9">
        <f t="shared" si="58"/>
        <v>0</v>
      </c>
      <c r="M590" s="9"/>
    </row>
    <row r="591" spans="1:13" ht="12.75">
      <c r="A591" s="14">
        <v>39241</v>
      </c>
      <c r="B591" s="13" t="s">
        <v>152</v>
      </c>
      <c r="D591" s="49"/>
      <c r="E591" s="17"/>
      <c r="F591" s="49">
        <v>-21613.17</v>
      </c>
      <c r="G591" s="49"/>
      <c r="H591" s="32"/>
      <c r="J591" s="4">
        <f t="shared" si="56"/>
        <v>-44835814.41749999</v>
      </c>
      <c r="K591" s="6">
        <f t="shared" si="57"/>
        <v>0</v>
      </c>
      <c r="L591" s="9">
        <f t="shared" si="58"/>
        <v>0</v>
      </c>
      <c r="M591" s="9"/>
    </row>
    <row r="592" spans="1:13" ht="12.75">
      <c r="A592" s="14">
        <v>39241</v>
      </c>
      <c r="B592" s="13" t="s">
        <v>152</v>
      </c>
      <c r="D592" s="49"/>
      <c r="E592" s="17"/>
      <c r="F592" s="49">
        <v>-7862.5</v>
      </c>
      <c r="G592" s="49"/>
      <c r="H592" s="32"/>
      <c r="J592" s="4">
        <f t="shared" si="56"/>
        <v>-44843676.91749999</v>
      </c>
      <c r="K592" s="6">
        <f t="shared" si="57"/>
        <v>0</v>
      </c>
      <c r="L592" s="9">
        <f t="shared" si="58"/>
        <v>0</v>
      </c>
      <c r="M592" s="9"/>
    </row>
    <row r="593" spans="1:13" ht="12.75">
      <c r="A593" s="14">
        <v>39241</v>
      </c>
      <c r="B593" s="13" t="s">
        <v>152</v>
      </c>
      <c r="D593" s="49"/>
      <c r="E593" s="17"/>
      <c r="F593" s="49">
        <v>-2437</v>
      </c>
      <c r="G593" s="49"/>
      <c r="H593" s="32"/>
      <c r="J593" s="4">
        <f t="shared" si="56"/>
        <v>-44846113.91749999</v>
      </c>
      <c r="K593" s="6">
        <f t="shared" si="57"/>
        <v>0</v>
      </c>
      <c r="L593" s="9">
        <f t="shared" si="58"/>
        <v>0</v>
      </c>
      <c r="M593" s="9"/>
    </row>
    <row r="594" spans="1:13" ht="12.75">
      <c r="A594" s="14">
        <v>39241</v>
      </c>
      <c r="B594" s="13" t="s">
        <v>152</v>
      </c>
      <c r="D594" s="49"/>
      <c r="E594" s="17"/>
      <c r="F594" s="49">
        <v>-26183.43</v>
      </c>
      <c r="G594" s="49"/>
      <c r="H594" s="32"/>
      <c r="J594" s="4">
        <f t="shared" si="56"/>
        <v>-44872297.34749999</v>
      </c>
      <c r="K594" s="6">
        <f t="shared" si="57"/>
        <v>0</v>
      </c>
      <c r="L594" s="9">
        <f t="shared" si="58"/>
        <v>0</v>
      </c>
      <c r="M594" s="9"/>
    </row>
    <row r="595" spans="1:13" ht="12.75">
      <c r="A595" s="14">
        <v>39241</v>
      </c>
      <c r="B595" s="13" t="s">
        <v>152</v>
      </c>
      <c r="D595" s="49"/>
      <c r="E595" s="17"/>
      <c r="F595" s="49">
        <v>-5743.94</v>
      </c>
      <c r="G595" s="49"/>
      <c r="H595" s="32"/>
      <c r="J595" s="4">
        <f t="shared" si="56"/>
        <v>-44878041.28749999</v>
      </c>
      <c r="K595" s="6">
        <f t="shared" si="57"/>
        <v>0</v>
      </c>
      <c r="L595" s="9">
        <f t="shared" si="58"/>
        <v>0</v>
      </c>
      <c r="M595" s="9"/>
    </row>
    <row r="596" spans="1:13" ht="12.75">
      <c r="A596" s="14">
        <v>39241</v>
      </c>
      <c r="B596" s="13" t="s">
        <v>152</v>
      </c>
      <c r="D596" s="49"/>
      <c r="E596" s="17"/>
      <c r="F596" s="49">
        <v>-6538.4</v>
      </c>
      <c r="G596" s="49"/>
      <c r="H596" s="32"/>
      <c r="J596" s="4">
        <f t="shared" si="56"/>
        <v>-44884579.687499985</v>
      </c>
      <c r="K596" s="6">
        <f t="shared" si="57"/>
        <v>0</v>
      </c>
      <c r="L596" s="9">
        <f t="shared" si="58"/>
        <v>0</v>
      </c>
      <c r="M596" s="9"/>
    </row>
    <row r="597" spans="1:13" ht="12.75">
      <c r="A597" s="14">
        <v>39241</v>
      </c>
      <c r="B597" s="13" t="s">
        <v>152</v>
      </c>
      <c r="D597" s="49"/>
      <c r="E597" s="17"/>
      <c r="F597" s="49">
        <v>-4061.17</v>
      </c>
      <c r="G597" s="49"/>
      <c r="H597" s="32"/>
      <c r="J597" s="4">
        <f t="shared" si="56"/>
        <v>-44888640.85749999</v>
      </c>
      <c r="K597" s="6">
        <f t="shared" si="57"/>
        <v>0</v>
      </c>
      <c r="L597" s="9">
        <f t="shared" si="58"/>
        <v>0</v>
      </c>
      <c r="M597" s="9"/>
    </row>
    <row r="598" spans="1:13" ht="12.75">
      <c r="A598" s="14">
        <v>39241</v>
      </c>
      <c r="B598" s="13" t="s">
        <v>152</v>
      </c>
      <c r="D598" s="49"/>
      <c r="E598" s="17"/>
      <c r="F598" s="49">
        <v>-260704</v>
      </c>
      <c r="G598" s="49"/>
      <c r="H598" s="32"/>
      <c r="J598" s="4">
        <f t="shared" si="56"/>
        <v>-45149344.85749999</v>
      </c>
      <c r="K598" s="6">
        <f t="shared" si="57"/>
        <v>0</v>
      </c>
      <c r="L598" s="9">
        <f t="shared" si="58"/>
        <v>0</v>
      </c>
      <c r="M598" s="9"/>
    </row>
    <row r="599" spans="1:13" ht="12.75">
      <c r="A599" s="14">
        <v>39241</v>
      </c>
      <c r="B599" s="13" t="s">
        <v>152</v>
      </c>
      <c r="D599" s="49"/>
      <c r="E599" s="17"/>
      <c r="F599" s="49">
        <v>-7342.87</v>
      </c>
      <c r="G599" s="49"/>
      <c r="H599" s="32"/>
      <c r="J599" s="4">
        <f t="shared" si="56"/>
        <v>-45156687.727499984</v>
      </c>
      <c r="K599" s="6">
        <f t="shared" si="57"/>
        <v>0</v>
      </c>
      <c r="L599" s="9">
        <f t="shared" si="58"/>
        <v>0</v>
      </c>
      <c r="M599" s="9"/>
    </row>
    <row r="600" spans="1:13" ht="12.75">
      <c r="A600" s="14">
        <v>39241</v>
      </c>
      <c r="B600" s="13" t="s">
        <v>152</v>
      </c>
      <c r="D600" s="49"/>
      <c r="E600" s="17"/>
      <c r="F600" s="49">
        <v>-8909.29</v>
      </c>
      <c r="G600" s="49"/>
      <c r="H600" s="32"/>
      <c r="J600" s="4">
        <f t="shared" si="56"/>
        <v>-45165597.01749998</v>
      </c>
      <c r="K600" s="6">
        <f t="shared" si="57"/>
        <v>0</v>
      </c>
      <c r="L600" s="9">
        <f t="shared" si="58"/>
        <v>0</v>
      </c>
      <c r="M600" s="9"/>
    </row>
    <row r="601" spans="1:13" ht="12.75">
      <c r="A601" s="14">
        <v>39241</v>
      </c>
      <c r="B601" s="13" t="s">
        <v>152</v>
      </c>
      <c r="D601" s="49"/>
      <c r="E601" s="17"/>
      <c r="F601" s="49">
        <v>-7920</v>
      </c>
      <c r="G601" s="49"/>
      <c r="H601" s="32"/>
      <c r="J601" s="4">
        <f t="shared" si="56"/>
        <v>-45173517.01749998</v>
      </c>
      <c r="K601" s="6">
        <f t="shared" si="57"/>
        <v>0</v>
      </c>
      <c r="L601" s="9">
        <f t="shared" si="58"/>
        <v>0</v>
      </c>
      <c r="M601" s="9"/>
    </row>
    <row r="602" spans="1:12" ht="12.75">
      <c r="A602" s="14">
        <v>39241</v>
      </c>
      <c r="B602" s="47" t="s">
        <v>7</v>
      </c>
      <c r="D602" s="33"/>
      <c r="E602" s="17">
        <v>-51800</v>
      </c>
      <c r="F602" s="31"/>
      <c r="G602" s="31"/>
      <c r="H602" s="32"/>
      <c r="J602" s="4">
        <f t="shared" si="56"/>
        <v>-45225317.01749998</v>
      </c>
      <c r="K602" s="6">
        <f t="shared" si="57"/>
        <v>0</v>
      </c>
      <c r="L602" s="9">
        <f t="shared" si="58"/>
        <v>0</v>
      </c>
    </row>
    <row r="603" spans="1:12" ht="12.75">
      <c r="A603" s="14">
        <v>39241</v>
      </c>
      <c r="B603" s="47" t="s">
        <v>7</v>
      </c>
      <c r="D603" s="33"/>
      <c r="E603" s="17">
        <v>-81400</v>
      </c>
      <c r="F603" s="31"/>
      <c r="G603" s="31"/>
      <c r="H603" s="32"/>
      <c r="J603" s="4">
        <f aca="true" t="shared" si="59" ref="J603:J622">J602+D603+E603+F603+G603+H603+I603</f>
        <v>-45306717.01749998</v>
      </c>
      <c r="K603" s="6">
        <f aca="true" t="shared" si="60" ref="K603:K622">DATEDIF(A603,A604,"d")</f>
        <v>0</v>
      </c>
      <c r="L603" s="9">
        <f aca="true" t="shared" si="61" ref="L603:L622">J603*K603*0.2/365</f>
        <v>0</v>
      </c>
    </row>
    <row r="604" spans="1:12" ht="12.75">
      <c r="A604" s="14">
        <v>39241</v>
      </c>
      <c r="B604" s="47" t="s">
        <v>7</v>
      </c>
      <c r="D604" s="33"/>
      <c r="E604" s="17">
        <v>-59200</v>
      </c>
      <c r="F604" s="31"/>
      <c r="G604" s="31"/>
      <c r="H604" s="32"/>
      <c r="J604" s="4">
        <f t="shared" si="59"/>
        <v>-45365917.01749998</v>
      </c>
      <c r="K604" s="6">
        <f t="shared" si="60"/>
        <v>0</v>
      </c>
      <c r="L604" s="9">
        <f t="shared" si="61"/>
        <v>0</v>
      </c>
    </row>
    <row r="605" spans="1:12" ht="12.75">
      <c r="A605" s="14">
        <v>39241</v>
      </c>
      <c r="B605" s="47" t="s">
        <v>7</v>
      </c>
      <c r="D605" s="33"/>
      <c r="E605" s="17">
        <v>-125800</v>
      </c>
      <c r="F605" s="31"/>
      <c r="G605" s="31"/>
      <c r="H605" s="32"/>
      <c r="J605" s="4">
        <f t="shared" si="59"/>
        <v>-45491717.01749998</v>
      </c>
      <c r="K605" s="6">
        <f t="shared" si="60"/>
        <v>0</v>
      </c>
      <c r="L605" s="9">
        <f t="shared" si="61"/>
        <v>0</v>
      </c>
    </row>
    <row r="606" spans="1:12" ht="12.75">
      <c r="A606" s="14">
        <v>39241</v>
      </c>
      <c r="B606" s="47" t="s">
        <v>145</v>
      </c>
      <c r="D606" s="17">
        <v>-550000</v>
      </c>
      <c r="E606" s="17"/>
      <c r="F606" s="31"/>
      <c r="G606" s="31"/>
      <c r="H606" s="32"/>
      <c r="J606" s="4">
        <f t="shared" si="59"/>
        <v>-46041717.01749998</v>
      </c>
      <c r="K606" s="6">
        <f t="shared" si="60"/>
        <v>0</v>
      </c>
      <c r="L606" s="9">
        <f t="shared" si="61"/>
        <v>0</v>
      </c>
    </row>
    <row r="607" spans="1:12" ht="12.75">
      <c r="A607" s="23">
        <v>39241</v>
      </c>
      <c r="B607" s="63" t="s">
        <v>20</v>
      </c>
      <c r="D607" s="17">
        <v>-31800</v>
      </c>
      <c r="E607" s="17"/>
      <c r="F607" s="31"/>
      <c r="G607" s="31"/>
      <c r="H607" s="32"/>
      <c r="J607" s="4">
        <f t="shared" si="59"/>
        <v>-46073517.01749998</v>
      </c>
      <c r="K607" s="6">
        <f t="shared" si="60"/>
        <v>1</v>
      </c>
      <c r="L607" s="9">
        <f t="shared" si="61"/>
        <v>-25245.762749315058</v>
      </c>
    </row>
    <row r="608" spans="1:12" ht="12.75">
      <c r="A608" s="23">
        <v>39242</v>
      </c>
      <c r="B608" s="63" t="s">
        <v>7</v>
      </c>
      <c r="D608" s="33"/>
      <c r="E608" s="17">
        <v>-252000</v>
      </c>
      <c r="F608" s="31"/>
      <c r="G608" s="31"/>
      <c r="H608" s="32"/>
      <c r="J608" s="4">
        <f t="shared" si="59"/>
        <v>-46325517.01749998</v>
      </c>
      <c r="K608" s="6">
        <f t="shared" si="60"/>
        <v>1</v>
      </c>
      <c r="L608" s="9">
        <f t="shared" si="61"/>
        <v>-25383.844941095882</v>
      </c>
    </row>
    <row r="609" spans="1:12" ht="12.75">
      <c r="A609" s="14">
        <v>39243</v>
      </c>
      <c r="B609" s="47" t="s">
        <v>7</v>
      </c>
      <c r="D609" s="33"/>
      <c r="E609" s="17">
        <v>-37000</v>
      </c>
      <c r="F609" s="31"/>
      <c r="G609" s="31"/>
      <c r="H609" s="32"/>
      <c r="J609" s="4">
        <f t="shared" si="59"/>
        <v>-46362517.01749998</v>
      </c>
      <c r="K609" s="6">
        <f t="shared" si="60"/>
        <v>0</v>
      </c>
      <c r="L609" s="9">
        <f t="shared" si="61"/>
        <v>0</v>
      </c>
    </row>
    <row r="610" spans="1:12" ht="12.75">
      <c r="A610" s="14">
        <v>39243</v>
      </c>
      <c r="B610" s="47" t="s">
        <v>7</v>
      </c>
      <c r="D610" s="33"/>
      <c r="E610" s="17">
        <v>-51800</v>
      </c>
      <c r="F610" s="31"/>
      <c r="G610" s="31"/>
      <c r="H610" s="32"/>
      <c r="J610" s="4">
        <f t="shared" si="59"/>
        <v>-46414317.01749998</v>
      </c>
      <c r="K610" s="6">
        <f t="shared" si="60"/>
        <v>0</v>
      </c>
      <c r="L610" s="9">
        <f t="shared" si="61"/>
        <v>0</v>
      </c>
    </row>
    <row r="611" spans="1:12" ht="12.75">
      <c r="A611" s="14">
        <v>39243</v>
      </c>
      <c r="B611" s="47" t="s">
        <v>7</v>
      </c>
      <c r="D611" s="33"/>
      <c r="E611" s="17">
        <v>-118400</v>
      </c>
      <c r="F611" s="31"/>
      <c r="G611" s="31"/>
      <c r="H611" s="32"/>
      <c r="J611" s="4">
        <f t="shared" si="59"/>
        <v>-46532717.01749998</v>
      </c>
      <c r="K611" s="6">
        <f t="shared" si="60"/>
        <v>1</v>
      </c>
      <c r="L611" s="9">
        <f t="shared" si="61"/>
        <v>-25497.379187671224</v>
      </c>
    </row>
    <row r="612" spans="1:12" ht="12.75">
      <c r="A612" s="14">
        <v>39244</v>
      </c>
      <c r="B612" s="47" t="s">
        <v>7</v>
      </c>
      <c r="D612" s="33"/>
      <c r="E612" s="17">
        <v>-77700</v>
      </c>
      <c r="F612" s="31"/>
      <c r="G612" s="31"/>
      <c r="H612" s="32"/>
      <c r="J612" s="4">
        <f t="shared" si="59"/>
        <v>-46610417.01749998</v>
      </c>
      <c r="K612" s="6">
        <f t="shared" si="60"/>
        <v>0</v>
      </c>
      <c r="L612" s="9">
        <f t="shared" si="61"/>
        <v>0</v>
      </c>
    </row>
    <row r="613" spans="1:12" ht="12.75">
      <c r="A613" s="14">
        <v>39244</v>
      </c>
      <c r="B613" s="47" t="s">
        <v>7</v>
      </c>
      <c r="D613" s="33"/>
      <c r="E613" s="17">
        <v>-51060</v>
      </c>
      <c r="F613" s="31"/>
      <c r="G613" s="31"/>
      <c r="H613" s="32"/>
      <c r="J613" s="4">
        <f t="shared" si="59"/>
        <v>-46661477.01749998</v>
      </c>
      <c r="K613" s="6">
        <f t="shared" si="60"/>
        <v>0</v>
      </c>
      <c r="L613" s="9">
        <f t="shared" si="61"/>
        <v>0</v>
      </c>
    </row>
    <row r="614" spans="1:12" ht="12.75">
      <c r="A614" s="14">
        <v>39244</v>
      </c>
      <c r="B614" s="47" t="s">
        <v>7</v>
      </c>
      <c r="D614" s="33"/>
      <c r="E614" s="17">
        <v>-51800</v>
      </c>
      <c r="F614" s="31"/>
      <c r="G614" s="31"/>
      <c r="H614" s="32"/>
      <c r="J614" s="4">
        <f t="shared" si="59"/>
        <v>-46713277.01749998</v>
      </c>
      <c r="K614" s="6">
        <f t="shared" si="60"/>
        <v>0</v>
      </c>
      <c r="L614" s="9">
        <f t="shared" si="61"/>
        <v>0</v>
      </c>
    </row>
    <row r="615" spans="1:12" ht="12.75">
      <c r="A615" s="14">
        <v>39244</v>
      </c>
      <c r="B615" s="47" t="s">
        <v>7</v>
      </c>
      <c r="D615" s="33"/>
      <c r="E615" s="17">
        <v>-59200</v>
      </c>
      <c r="F615" s="31"/>
      <c r="G615" s="31"/>
      <c r="H615" s="32"/>
      <c r="J615" s="4">
        <f t="shared" si="59"/>
        <v>-46772477.01749998</v>
      </c>
      <c r="K615" s="6">
        <f t="shared" si="60"/>
        <v>0</v>
      </c>
      <c r="L615" s="9">
        <f t="shared" si="61"/>
        <v>0</v>
      </c>
    </row>
    <row r="616" spans="1:12" ht="12.75">
      <c r="A616" s="14">
        <v>39244</v>
      </c>
      <c r="B616" s="47" t="s">
        <v>7</v>
      </c>
      <c r="D616" s="33"/>
      <c r="E616" s="17">
        <v>-35298</v>
      </c>
      <c r="F616" s="31"/>
      <c r="G616" s="31"/>
      <c r="H616" s="32"/>
      <c r="J616" s="4">
        <f t="shared" si="59"/>
        <v>-46807775.01749998</v>
      </c>
      <c r="K616" s="6">
        <f t="shared" si="60"/>
        <v>0</v>
      </c>
      <c r="L616" s="9">
        <f t="shared" si="61"/>
        <v>0</v>
      </c>
    </row>
    <row r="617" spans="1:12" ht="12.75">
      <c r="A617" s="14">
        <v>39244</v>
      </c>
      <c r="B617" s="47" t="s">
        <v>7</v>
      </c>
      <c r="D617" s="33"/>
      <c r="E617" s="17">
        <v>-48840</v>
      </c>
      <c r="F617" s="31"/>
      <c r="G617" s="31"/>
      <c r="H617" s="32"/>
      <c r="J617" s="4">
        <f t="shared" si="59"/>
        <v>-46856615.01749998</v>
      </c>
      <c r="K617" s="6">
        <f t="shared" si="60"/>
        <v>0</v>
      </c>
      <c r="L617" s="9">
        <f t="shared" si="61"/>
        <v>0</v>
      </c>
    </row>
    <row r="618" spans="1:12" ht="12.75">
      <c r="A618" s="14">
        <v>39244</v>
      </c>
      <c r="B618" s="47" t="s">
        <v>7</v>
      </c>
      <c r="D618" s="33"/>
      <c r="E618" s="17">
        <v>-51800</v>
      </c>
      <c r="F618" s="31"/>
      <c r="G618" s="31"/>
      <c r="H618" s="32"/>
      <c r="J618" s="4">
        <f t="shared" si="59"/>
        <v>-46908415.01749998</v>
      </c>
      <c r="K618" s="6">
        <f t="shared" si="60"/>
        <v>0</v>
      </c>
      <c r="L618" s="9">
        <f t="shared" si="61"/>
        <v>0</v>
      </c>
    </row>
    <row r="619" spans="1:12" ht="12.75">
      <c r="A619" s="14">
        <v>39244</v>
      </c>
      <c r="B619" s="30" t="s">
        <v>161</v>
      </c>
      <c r="C619" s="29">
        <f>1887221.61*0.8</f>
        <v>1509777.2880000002</v>
      </c>
      <c r="D619" s="71"/>
      <c r="E619" s="32"/>
      <c r="F619" s="31"/>
      <c r="G619" s="31"/>
      <c r="H619" s="32"/>
      <c r="J619" s="4">
        <f t="shared" si="59"/>
        <v>-46908415.01749998</v>
      </c>
      <c r="K619" s="6">
        <f t="shared" si="60"/>
        <v>0</v>
      </c>
      <c r="L619" s="9">
        <f t="shared" si="61"/>
        <v>0</v>
      </c>
    </row>
    <row r="620" spans="1:12" ht="12.75">
      <c r="A620" s="14">
        <v>39244</v>
      </c>
      <c r="B620" s="13" t="s">
        <v>32</v>
      </c>
      <c r="C620" s="17">
        <f>-C619</f>
        <v>-1509777.2880000002</v>
      </c>
      <c r="D620" s="46"/>
      <c r="E620" s="17"/>
      <c r="F620" s="31"/>
      <c r="G620" s="31"/>
      <c r="H620" s="32">
        <f>-C620</f>
        <v>1509777.2880000002</v>
      </c>
      <c r="J620" s="4">
        <f t="shared" si="59"/>
        <v>-45398637.72949998</v>
      </c>
      <c r="K620" s="6">
        <f t="shared" si="60"/>
        <v>1</v>
      </c>
      <c r="L620" s="9">
        <f t="shared" si="61"/>
        <v>-24875.96587917807</v>
      </c>
    </row>
    <row r="621" spans="1:12" ht="12.75">
      <c r="A621" s="14">
        <v>39245</v>
      </c>
      <c r="B621" s="47" t="s">
        <v>7</v>
      </c>
      <c r="D621" s="33"/>
      <c r="E621" s="17">
        <v>-54020</v>
      </c>
      <c r="F621" s="31"/>
      <c r="G621" s="31"/>
      <c r="H621" s="32"/>
      <c r="J621" s="4">
        <f t="shared" si="59"/>
        <v>-45452657.72949998</v>
      </c>
      <c r="K621" s="6">
        <f t="shared" si="60"/>
        <v>0</v>
      </c>
      <c r="L621" s="9">
        <f t="shared" si="61"/>
        <v>0</v>
      </c>
    </row>
    <row r="622" spans="1:12" ht="12.75">
      <c r="A622" s="14">
        <v>39245</v>
      </c>
      <c r="B622" s="47" t="s">
        <v>7</v>
      </c>
      <c r="D622" s="33"/>
      <c r="E622" s="17">
        <v>-40700</v>
      </c>
      <c r="F622" s="31"/>
      <c r="G622" s="31"/>
      <c r="H622" s="32"/>
      <c r="J622" s="4">
        <f t="shared" si="59"/>
        <v>-45493357.72949998</v>
      </c>
      <c r="K622" s="6">
        <f t="shared" si="60"/>
        <v>0</v>
      </c>
      <c r="L622" s="9">
        <f t="shared" si="61"/>
        <v>0</v>
      </c>
    </row>
    <row r="623" spans="1:12" ht="12.75">
      <c r="A623" s="14">
        <v>39245</v>
      </c>
      <c r="B623" s="47" t="s">
        <v>20</v>
      </c>
      <c r="D623" s="48">
        <v>-1060000</v>
      </c>
      <c r="E623" s="17"/>
      <c r="F623" s="31"/>
      <c r="G623" s="31"/>
      <c r="H623" s="32"/>
      <c r="J623" s="4">
        <f aca="true" t="shared" si="62" ref="J623:J632">J622+D623+E623+F623+G623+H623+I623</f>
        <v>-46553357.72949998</v>
      </c>
      <c r="K623" s="6">
        <f aca="true" t="shared" si="63" ref="K623:K632">DATEDIF(A623,A624,"d")</f>
        <v>0</v>
      </c>
      <c r="L623" s="9">
        <f aca="true" t="shared" si="64" ref="L623:L632">J623*K623*0.2/365</f>
        <v>0</v>
      </c>
    </row>
    <row r="624" spans="1:12" ht="12.75">
      <c r="A624" s="14">
        <v>39245</v>
      </c>
      <c r="B624" s="47" t="s">
        <v>55</v>
      </c>
      <c r="D624" s="48">
        <v>-3350</v>
      </c>
      <c r="E624" s="17"/>
      <c r="F624" s="31"/>
      <c r="G624" s="31"/>
      <c r="H624" s="32"/>
      <c r="J624" s="4">
        <f t="shared" si="62"/>
        <v>-46556707.72949998</v>
      </c>
      <c r="K624" s="6">
        <f t="shared" si="63"/>
        <v>0</v>
      </c>
      <c r="L624" s="9">
        <f t="shared" si="64"/>
        <v>0</v>
      </c>
    </row>
    <row r="625" spans="1:12" ht="12.75">
      <c r="A625" s="14">
        <v>39245</v>
      </c>
      <c r="B625" s="47" t="s">
        <v>55</v>
      </c>
      <c r="D625" s="48">
        <v>-3115</v>
      </c>
      <c r="E625" s="17"/>
      <c r="F625" s="31"/>
      <c r="G625" s="31"/>
      <c r="H625" s="32"/>
      <c r="J625" s="4">
        <f t="shared" si="62"/>
        <v>-46559822.72949998</v>
      </c>
      <c r="K625" s="6">
        <f t="shared" si="63"/>
        <v>0</v>
      </c>
      <c r="L625" s="9">
        <f t="shared" si="64"/>
        <v>0</v>
      </c>
    </row>
    <row r="626" spans="1:12" ht="12.75">
      <c r="A626" s="14">
        <v>39245</v>
      </c>
      <c r="B626" s="47" t="s">
        <v>138</v>
      </c>
      <c r="D626" s="48">
        <v>-198700</v>
      </c>
      <c r="E626" s="17"/>
      <c r="F626" s="31"/>
      <c r="G626" s="31"/>
      <c r="H626" s="32"/>
      <c r="J626" s="4">
        <f t="shared" si="62"/>
        <v>-46758522.72949998</v>
      </c>
      <c r="K626" s="6">
        <f t="shared" si="63"/>
        <v>1</v>
      </c>
      <c r="L626" s="9">
        <f t="shared" si="64"/>
        <v>-25621.108344931497</v>
      </c>
    </row>
    <row r="627" spans="1:12" ht="12.75">
      <c r="A627" s="14">
        <v>39246</v>
      </c>
      <c r="B627" s="47" t="s">
        <v>21</v>
      </c>
      <c r="D627" s="48">
        <v>-210000</v>
      </c>
      <c r="E627" s="17"/>
      <c r="F627" s="31"/>
      <c r="G627" s="31"/>
      <c r="H627" s="32"/>
      <c r="J627" s="4">
        <f t="shared" si="62"/>
        <v>-46968522.72949998</v>
      </c>
      <c r="K627" s="6">
        <f t="shared" si="63"/>
        <v>0</v>
      </c>
      <c r="L627" s="9">
        <f t="shared" si="64"/>
        <v>0</v>
      </c>
    </row>
    <row r="628" spans="1:12" ht="12.75">
      <c r="A628" s="14">
        <v>39246</v>
      </c>
      <c r="B628" s="47" t="s">
        <v>20</v>
      </c>
      <c r="D628" s="48">
        <v>-31800</v>
      </c>
      <c r="E628" s="17"/>
      <c r="F628" s="31"/>
      <c r="G628" s="31"/>
      <c r="H628" s="32"/>
      <c r="J628" s="4">
        <f t="shared" si="62"/>
        <v>-47000322.72949998</v>
      </c>
      <c r="K628" s="6">
        <f t="shared" si="63"/>
        <v>1</v>
      </c>
      <c r="L628" s="9">
        <f t="shared" si="64"/>
        <v>-25753.60149561643</v>
      </c>
    </row>
    <row r="629" spans="1:12" ht="12.75">
      <c r="A629" s="14">
        <v>39247</v>
      </c>
      <c r="B629" s="47" t="s">
        <v>145</v>
      </c>
      <c r="D629" s="48">
        <v>-106900</v>
      </c>
      <c r="E629" s="17"/>
      <c r="F629" s="31"/>
      <c r="G629" s="31"/>
      <c r="H629" s="32"/>
      <c r="J629" s="4">
        <f t="shared" si="62"/>
        <v>-47107222.72949998</v>
      </c>
      <c r="K629" s="6">
        <f t="shared" si="63"/>
        <v>0</v>
      </c>
      <c r="L629" s="9">
        <f t="shared" si="64"/>
        <v>0</v>
      </c>
    </row>
    <row r="630" spans="1:12" ht="12.75">
      <c r="A630" s="14">
        <v>39247</v>
      </c>
      <c r="B630" s="47" t="s">
        <v>27</v>
      </c>
      <c r="D630" s="49">
        <v>-5606.42</v>
      </c>
      <c r="E630" s="17"/>
      <c r="F630" s="31"/>
      <c r="G630" s="31"/>
      <c r="H630" s="32"/>
      <c r="J630" s="4">
        <f t="shared" si="62"/>
        <v>-47112829.14949998</v>
      </c>
      <c r="K630" s="6">
        <f t="shared" si="63"/>
        <v>1</v>
      </c>
      <c r="L630" s="9">
        <f t="shared" si="64"/>
        <v>-25815.248849041087</v>
      </c>
    </row>
    <row r="631" spans="1:12" ht="12.75">
      <c r="A631" s="14">
        <v>39248</v>
      </c>
      <c r="B631" s="47" t="s">
        <v>156</v>
      </c>
      <c r="D631" s="49"/>
      <c r="E631" s="17"/>
      <c r="F631" s="31"/>
      <c r="G631" s="49">
        <v>-6777.49</v>
      </c>
      <c r="H631" s="32"/>
      <c r="J631" s="4">
        <f t="shared" si="62"/>
        <v>-47119606.639499985</v>
      </c>
      <c r="K631" s="6">
        <f t="shared" si="63"/>
        <v>0</v>
      </c>
      <c r="L631" s="9">
        <f t="shared" si="64"/>
        <v>0</v>
      </c>
    </row>
    <row r="632" spans="1:12" ht="12.75">
      <c r="A632" s="14">
        <v>39248</v>
      </c>
      <c r="B632" s="47" t="s">
        <v>30</v>
      </c>
      <c r="D632" s="49"/>
      <c r="E632" s="17"/>
      <c r="F632" s="31"/>
      <c r="G632" s="49">
        <v>-33046.96</v>
      </c>
      <c r="H632" s="32"/>
      <c r="J632" s="4">
        <f t="shared" si="62"/>
        <v>-47152653.599499986</v>
      </c>
      <c r="K632" s="6">
        <f t="shared" si="63"/>
        <v>0</v>
      </c>
      <c r="L632" s="9">
        <f t="shared" si="64"/>
        <v>0</v>
      </c>
    </row>
    <row r="633" spans="1:12" ht="12.75">
      <c r="A633" s="14">
        <v>39248</v>
      </c>
      <c r="B633" s="47" t="s">
        <v>158</v>
      </c>
      <c r="D633" s="48">
        <v>-210000</v>
      </c>
      <c r="E633" s="17"/>
      <c r="F633" s="31"/>
      <c r="G633" s="49"/>
      <c r="H633" s="32"/>
      <c r="J633" s="4">
        <f aca="true" t="shared" si="65" ref="J633:J640">J632+D633+E633+F633+G633+H633+I633</f>
        <v>-47362653.599499986</v>
      </c>
      <c r="K633" s="6">
        <f aca="true" t="shared" si="66" ref="K633:K640">DATEDIF(A633,A634,"d")</f>
        <v>0</v>
      </c>
      <c r="L633" s="9">
        <f aca="true" t="shared" si="67" ref="L633:L640">J633*K633*0.2/365</f>
        <v>0</v>
      </c>
    </row>
    <row r="634" spans="1:12" ht="12.75">
      <c r="A634" s="14">
        <v>39248</v>
      </c>
      <c r="B634" s="47" t="s">
        <v>27</v>
      </c>
      <c r="D634" s="48">
        <v>-52948.15</v>
      </c>
      <c r="E634" s="17"/>
      <c r="F634" s="31"/>
      <c r="G634" s="49"/>
      <c r="H634" s="32"/>
      <c r="J634" s="4">
        <f t="shared" si="65"/>
        <v>-47415601.749499984</v>
      </c>
      <c r="K634" s="6">
        <f t="shared" si="66"/>
        <v>0</v>
      </c>
      <c r="L634" s="9">
        <f t="shared" si="67"/>
        <v>0</v>
      </c>
    </row>
    <row r="635" spans="1:12" ht="12.75">
      <c r="A635" s="14">
        <v>39248</v>
      </c>
      <c r="B635" s="47" t="s">
        <v>28</v>
      </c>
      <c r="D635" s="48">
        <v>-315000</v>
      </c>
      <c r="E635" s="17"/>
      <c r="F635" s="31"/>
      <c r="G635" s="49"/>
      <c r="H635" s="32"/>
      <c r="J635" s="4">
        <f t="shared" si="65"/>
        <v>-47730601.749499984</v>
      </c>
      <c r="K635" s="6">
        <f t="shared" si="66"/>
        <v>0</v>
      </c>
      <c r="L635" s="9">
        <f t="shared" si="67"/>
        <v>0</v>
      </c>
    </row>
    <row r="636" spans="1:12" ht="12.75">
      <c r="A636" s="23">
        <v>39248</v>
      </c>
      <c r="B636" s="63" t="s">
        <v>21</v>
      </c>
      <c r="D636" s="17">
        <v>-52500</v>
      </c>
      <c r="E636" s="17"/>
      <c r="F636" s="31"/>
      <c r="G636" s="15"/>
      <c r="H636" s="32"/>
      <c r="J636" s="4">
        <f t="shared" si="65"/>
        <v>-47783101.749499984</v>
      </c>
      <c r="K636" s="6">
        <f t="shared" si="66"/>
        <v>0</v>
      </c>
      <c r="L636" s="9">
        <f t="shared" si="67"/>
        <v>0</v>
      </c>
    </row>
    <row r="637" spans="1:12" ht="12.75">
      <c r="A637" s="23">
        <v>39248</v>
      </c>
      <c r="B637" s="63" t="s">
        <v>7</v>
      </c>
      <c r="D637" s="33"/>
      <c r="E637" s="17">
        <v>-92950</v>
      </c>
      <c r="F637" s="31"/>
      <c r="G637" s="31"/>
      <c r="H637" s="32"/>
      <c r="J637" s="4">
        <f t="shared" si="65"/>
        <v>-47876051.749499984</v>
      </c>
      <c r="K637" s="6">
        <f t="shared" si="66"/>
        <v>0</v>
      </c>
      <c r="L637" s="9">
        <f t="shared" si="67"/>
        <v>0</v>
      </c>
    </row>
    <row r="638" spans="1:12" ht="12.75">
      <c r="A638" s="14">
        <v>39248</v>
      </c>
      <c r="B638" s="30" t="s">
        <v>163</v>
      </c>
      <c r="C638" s="29">
        <f>(3315479.9+5143268.7)*0.8</f>
        <v>6766998.88</v>
      </c>
      <c r="D638" s="71"/>
      <c r="E638" s="32"/>
      <c r="F638" s="31"/>
      <c r="G638" s="31"/>
      <c r="H638" s="32"/>
      <c r="J638" s="4">
        <f t="shared" si="65"/>
        <v>-47876051.749499984</v>
      </c>
      <c r="K638" s="6">
        <f t="shared" si="66"/>
        <v>0</v>
      </c>
      <c r="L638" s="9">
        <f t="shared" si="67"/>
        <v>0</v>
      </c>
    </row>
    <row r="639" spans="1:12" ht="12.75">
      <c r="A639" s="14">
        <v>39248</v>
      </c>
      <c r="B639" s="13" t="s">
        <v>32</v>
      </c>
      <c r="C639" s="17">
        <f>-C638</f>
        <v>-6766998.88</v>
      </c>
      <c r="D639" s="46"/>
      <c r="E639" s="17"/>
      <c r="F639" s="31"/>
      <c r="G639" s="31"/>
      <c r="H639" s="32">
        <f>-C639</f>
        <v>6766998.88</v>
      </c>
      <c r="J639" s="4">
        <f t="shared" si="65"/>
        <v>-41109052.86949998</v>
      </c>
      <c r="K639" s="6">
        <f t="shared" si="66"/>
        <v>2</v>
      </c>
      <c r="L639" s="9">
        <f t="shared" si="67"/>
        <v>-45051.01684328765</v>
      </c>
    </row>
    <row r="640" spans="1:12" ht="12.75">
      <c r="A640" s="14">
        <v>39250</v>
      </c>
      <c r="B640" s="47" t="s">
        <v>7</v>
      </c>
      <c r="D640" s="33"/>
      <c r="E640" s="17">
        <v>-57600</v>
      </c>
      <c r="F640" s="31"/>
      <c r="G640" s="31"/>
      <c r="H640" s="32"/>
      <c r="J640" s="4">
        <f t="shared" si="65"/>
        <v>-41166652.86949998</v>
      </c>
      <c r="K640" s="6">
        <f t="shared" si="66"/>
        <v>1</v>
      </c>
      <c r="L640" s="9">
        <f t="shared" si="67"/>
        <v>-22557.070065479442</v>
      </c>
    </row>
    <row r="641" spans="1:12" ht="12.75">
      <c r="A641" s="14">
        <v>39251</v>
      </c>
      <c r="B641" s="47" t="s">
        <v>20</v>
      </c>
      <c r="D641" s="48">
        <v>-487600</v>
      </c>
      <c r="E641" s="17"/>
      <c r="F641" s="31"/>
      <c r="G641" s="31"/>
      <c r="H641" s="32"/>
      <c r="J641" s="4">
        <f aca="true" t="shared" si="68" ref="J641:J659">J640+D641+E641+F641+G641+H641+I641</f>
        <v>-41654252.86949998</v>
      </c>
      <c r="K641" s="6">
        <f aca="true" t="shared" si="69" ref="K641:K659">DATEDIF(A641,A642,"d")</f>
        <v>1</v>
      </c>
      <c r="L641" s="9">
        <f aca="true" t="shared" si="70" ref="L641:L659">J641*K641*0.2/365</f>
        <v>-22824.248147671224</v>
      </c>
    </row>
    <row r="642" spans="1:12" ht="12.75">
      <c r="A642" s="14">
        <v>39252</v>
      </c>
      <c r="B642" s="47" t="s">
        <v>20</v>
      </c>
      <c r="D642" s="48">
        <v>-53000</v>
      </c>
      <c r="E642" s="17"/>
      <c r="F642" s="31"/>
      <c r="G642" s="31"/>
      <c r="H642" s="32"/>
      <c r="J642" s="4">
        <f t="shared" si="68"/>
        <v>-41707252.86949998</v>
      </c>
      <c r="K642" s="6">
        <f t="shared" si="69"/>
        <v>0</v>
      </c>
      <c r="L642" s="9">
        <f t="shared" si="70"/>
        <v>0</v>
      </c>
    </row>
    <row r="643" spans="1:12" ht="12.75">
      <c r="A643" s="14">
        <v>39252</v>
      </c>
      <c r="B643" s="47" t="s">
        <v>21</v>
      </c>
      <c r="D643" s="48">
        <v>-73500</v>
      </c>
      <c r="E643" s="17"/>
      <c r="F643" s="31"/>
      <c r="G643" s="31"/>
      <c r="H643" s="32"/>
      <c r="J643" s="4">
        <f t="shared" si="68"/>
        <v>-41780752.86949998</v>
      </c>
      <c r="K643" s="6">
        <f t="shared" si="69"/>
        <v>0</v>
      </c>
      <c r="L643" s="9">
        <f t="shared" si="70"/>
        <v>0</v>
      </c>
    </row>
    <row r="644" spans="1:12" ht="12.75">
      <c r="A644" s="14">
        <v>39252</v>
      </c>
      <c r="B644" s="47" t="s">
        <v>27</v>
      </c>
      <c r="D644" s="48">
        <v>-15260</v>
      </c>
      <c r="E644" s="17"/>
      <c r="F644" s="31"/>
      <c r="G644" s="31"/>
      <c r="H644" s="32"/>
      <c r="J644" s="4">
        <f t="shared" si="68"/>
        <v>-41796012.86949998</v>
      </c>
      <c r="K644" s="6">
        <f t="shared" si="69"/>
        <v>0</v>
      </c>
      <c r="L644" s="9">
        <f t="shared" si="70"/>
        <v>0</v>
      </c>
    </row>
    <row r="645" spans="1:12" ht="12.75">
      <c r="A645" s="14">
        <v>39252</v>
      </c>
      <c r="B645" s="47" t="s">
        <v>159</v>
      </c>
      <c r="D645" s="48">
        <v>-211000</v>
      </c>
      <c r="E645" s="17"/>
      <c r="F645" s="31"/>
      <c r="G645" s="31"/>
      <c r="H645" s="32"/>
      <c r="J645" s="4">
        <f t="shared" si="68"/>
        <v>-42007012.86949998</v>
      </c>
      <c r="K645" s="6">
        <f t="shared" si="69"/>
        <v>0</v>
      </c>
      <c r="L645" s="9">
        <f t="shared" si="70"/>
        <v>0</v>
      </c>
    </row>
    <row r="646" spans="1:12" ht="12.75">
      <c r="A646" s="14">
        <v>39252</v>
      </c>
      <c r="B646" s="47" t="s">
        <v>160</v>
      </c>
      <c r="D646" s="49">
        <v>-17334.36</v>
      </c>
      <c r="E646" s="17"/>
      <c r="F646" s="31"/>
      <c r="G646" s="31"/>
      <c r="H646" s="32"/>
      <c r="J646" s="4">
        <f t="shared" si="68"/>
        <v>-42024347.22949998</v>
      </c>
      <c r="K646" s="6">
        <f t="shared" si="69"/>
        <v>0</v>
      </c>
      <c r="L646" s="9">
        <f t="shared" si="70"/>
        <v>0</v>
      </c>
    </row>
    <row r="647" spans="1:12" ht="12.75">
      <c r="A647" s="14">
        <v>39252</v>
      </c>
      <c r="B647" s="47" t="s">
        <v>28</v>
      </c>
      <c r="D647" s="49">
        <v>-105000</v>
      </c>
      <c r="E647" s="17"/>
      <c r="F647" s="31"/>
      <c r="G647" s="31"/>
      <c r="H647" s="32"/>
      <c r="J647" s="4">
        <f t="shared" si="68"/>
        <v>-42129347.22949998</v>
      </c>
      <c r="K647" s="6">
        <f t="shared" si="69"/>
        <v>1</v>
      </c>
      <c r="L647" s="9">
        <f t="shared" si="70"/>
        <v>-23084.573824383555</v>
      </c>
    </row>
    <row r="648" spans="1:12" ht="12.75">
      <c r="A648" s="14">
        <v>39253</v>
      </c>
      <c r="B648" s="47" t="s">
        <v>158</v>
      </c>
      <c r="D648" s="49">
        <v>-43700</v>
      </c>
      <c r="E648" s="17"/>
      <c r="F648" s="31"/>
      <c r="G648" s="31"/>
      <c r="H648" s="32"/>
      <c r="J648" s="4">
        <f t="shared" si="68"/>
        <v>-42173047.22949998</v>
      </c>
      <c r="K648" s="6">
        <f t="shared" si="69"/>
        <v>0</v>
      </c>
      <c r="L648" s="9">
        <f t="shared" si="70"/>
        <v>0</v>
      </c>
    </row>
    <row r="649" spans="1:12" ht="12.75">
      <c r="A649" s="14">
        <v>39253</v>
      </c>
      <c r="B649" s="47" t="s">
        <v>25</v>
      </c>
      <c r="D649" s="49">
        <v>-30000</v>
      </c>
      <c r="E649" s="17"/>
      <c r="F649" s="31"/>
      <c r="G649" s="31"/>
      <c r="H649" s="32"/>
      <c r="J649" s="4">
        <f t="shared" si="68"/>
        <v>-42203047.22949998</v>
      </c>
      <c r="K649" s="6">
        <f t="shared" si="69"/>
        <v>0</v>
      </c>
      <c r="L649" s="9">
        <f t="shared" si="70"/>
        <v>0</v>
      </c>
    </row>
    <row r="650" spans="1:12" ht="12.75">
      <c r="A650" s="14">
        <v>39253</v>
      </c>
      <c r="B650" s="47" t="s">
        <v>27</v>
      </c>
      <c r="D650" s="49">
        <v>-20310</v>
      </c>
      <c r="E650" s="17"/>
      <c r="F650" s="31"/>
      <c r="G650" s="31"/>
      <c r="H650" s="32"/>
      <c r="J650" s="4">
        <f t="shared" si="68"/>
        <v>-42223357.22949998</v>
      </c>
      <c r="K650" s="6">
        <f t="shared" si="69"/>
        <v>0</v>
      </c>
      <c r="L650" s="9">
        <f t="shared" si="70"/>
        <v>0</v>
      </c>
    </row>
    <row r="651" spans="1:12" ht="12.75">
      <c r="A651" s="14">
        <v>39253</v>
      </c>
      <c r="B651" s="47" t="s">
        <v>28</v>
      </c>
      <c r="D651" s="49">
        <v>-52500</v>
      </c>
      <c r="E651" s="17"/>
      <c r="F651" s="31"/>
      <c r="G651" s="31"/>
      <c r="H651" s="32"/>
      <c r="J651" s="4">
        <f t="shared" si="68"/>
        <v>-42275857.22949998</v>
      </c>
      <c r="K651" s="6">
        <f t="shared" si="69"/>
        <v>0</v>
      </c>
      <c r="L651" s="9">
        <f t="shared" si="70"/>
        <v>0</v>
      </c>
    </row>
    <row r="652" spans="1:12" ht="12.75">
      <c r="A652" s="14">
        <v>39253</v>
      </c>
      <c r="B652" s="47" t="s">
        <v>173</v>
      </c>
      <c r="D652" s="49"/>
      <c r="E652" s="17"/>
      <c r="G652" s="48">
        <v>485633</v>
      </c>
      <c r="H652" s="32"/>
      <c r="J652" s="4">
        <f t="shared" si="68"/>
        <v>-41790224.22949998</v>
      </c>
      <c r="K652" s="6">
        <f t="shared" si="69"/>
        <v>0</v>
      </c>
      <c r="L652" s="9">
        <f t="shared" si="70"/>
        <v>0</v>
      </c>
    </row>
    <row r="653" spans="1:12" ht="12.75">
      <c r="A653" s="14">
        <v>39253</v>
      </c>
      <c r="B653" s="47" t="s">
        <v>160</v>
      </c>
      <c r="D653" s="49">
        <v>-17354.42</v>
      </c>
      <c r="E653" s="17"/>
      <c r="F653" s="48"/>
      <c r="G653" s="31"/>
      <c r="H653" s="32"/>
      <c r="J653" s="4">
        <f t="shared" si="68"/>
        <v>-41807578.64949998</v>
      </c>
      <c r="K653" s="6">
        <f t="shared" si="69"/>
        <v>1</v>
      </c>
      <c r="L653" s="9">
        <f t="shared" si="70"/>
        <v>-22908.262273698623</v>
      </c>
    </row>
    <row r="654" spans="1:12" ht="12.75">
      <c r="A654" s="14">
        <v>39254</v>
      </c>
      <c r="B654" s="47" t="s">
        <v>160</v>
      </c>
      <c r="D654" s="49">
        <v>-11565.15</v>
      </c>
      <c r="E654" s="17"/>
      <c r="F654" s="48"/>
      <c r="G654" s="31"/>
      <c r="H654" s="32"/>
      <c r="J654" s="4">
        <f t="shared" si="68"/>
        <v>-41819143.79949998</v>
      </c>
      <c r="K654" s="6">
        <f t="shared" si="69"/>
        <v>0</v>
      </c>
      <c r="L654" s="9">
        <f t="shared" si="70"/>
        <v>0</v>
      </c>
    </row>
    <row r="655" spans="1:12" ht="12.75">
      <c r="A655" s="14">
        <v>39254</v>
      </c>
      <c r="B655" s="47" t="s">
        <v>173</v>
      </c>
      <c r="D655" s="49"/>
      <c r="E655" s="17"/>
      <c r="G655" s="49">
        <v>57304.51</v>
      </c>
      <c r="H655" s="32"/>
      <c r="J655" s="4">
        <f t="shared" si="68"/>
        <v>-41761839.28949998</v>
      </c>
      <c r="K655" s="6">
        <f t="shared" si="69"/>
        <v>1</v>
      </c>
      <c r="L655" s="9">
        <f t="shared" si="70"/>
        <v>-22883.199610684926</v>
      </c>
    </row>
    <row r="656" spans="1:12" ht="12.75">
      <c r="A656" s="14">
        <v>39255</v>
      </c>
      <c r="B656" s="47" t="s">
        <v>27</v>
      </c>
      <c r="D656" s="48">
        <v>-26370</v>
      </c>
      <c r="E656" s="17"/>
      <c r="F656" s="49"/>
      <c r="G656" s="31"/>
      <c r="H656" s="32"/>
      <c r="J656" s="4">
        <f t="shared" si="68"/>
        <v>-41788209.28949998</v>
      </c>
      <c r="K656" s="6">
        <f t="shared" si="69"/>
        <v>0</v>
      </c>
      <c r="L656" s="9">
        <f t="shared" si="70"/>
        <v>0</v>
      </c>
    </row>
    <row r="657" spans="1:12" ht="12.75">
      <c r="A657" s="14">
        <v>39255</v>
      </c>
      <c r="B657" s="47" t="s">
        <v>175</v>
      </c>
      <c r="D657" s="48">
        <v>-5340.7</v>
      </c>
      <c r="E657" s="17"/>
      <c r="F657" s="49"/>
      <c r="G657" s="31"/>
      <c r="H657" s="32"/>
      <c r="J657" s="4">
        <f t="shared" si="68"/>
        <v>-41793549.989499986</v>
      </c>
      <c r="K657" s="6">
        <f t="shared" si="69"/>
        <v>0</v>
      </c>
      <c r="L657" s="9">
        <f t="shared" si="70"/>
        <v>0</v>
      </c>
    </row>
    <row r="658" spans="1:12" ht="12.75">
      <c r="A658" s="14">
        <v>39255</v>
      </c>
      <c r="B658" s="47" t="s">
        <v>138</v>
      </c>
      <c r="D658" s="48">
        <v>-196370</v>
      </c>
      <c r="E658" s="17"/>
      <c r="F658" s="49"/>
      <c r="G658" s="31"/>
      <c r="H658" s="32"/>
      <c r="J658" s="4">
        <f t="shared" si="68"/>
        <v>-41989919.989499986</v>
      </c>
      <c r="K658" s="6">
        <f t="shared" si="69"/>
        <v>0</v>
      </c>
      <c r="L658" s="9">
        <f t="shared" si="70"/>
        <v>0</v>
      </c>
    </row>
    <row r="659" spans="1:12" ht="12.75">
      <c r="A659" s="14">
        <v>39255</v>
      </c>
      <c r="B659" s="47" t="s">
        <v>20</v>
      </c>
      <c r="D659" s="48">
        <v>-74200</v>
      </c>
      <c r="E659" s="17"/>
      <c r="F659" s="49"/>
      <c r="G659" s="31"/>
      <c r="H659" s="32"/>
      <c r="J659" s="4">
        <f t="shared" si="68"/>
        <v>-42064119.989499986</v>
      </c>
      <c r="K659" s="6">
        <f t="shared" si="69"/>
        <v>0</v>
      </c>
      <c r="L659" s="9">
        <f t="shared" si="70"/>
        <v>0</v>
      </c>
    </row>
    <row r="660" spans="1:12" ht="12.75">
      <c r="A660" s="14">
        <v>39255</v>
      </c>
      <c r="B660" s="47" t="s">
        <v>21</v>
      </c>
      <c r="D660" s="48">
        <v>-119700</v>
      </c>
      <c r="E660" s="17"/>
      <c r="F660" s="49"/>
      <c r="G660" s="31"/>
      <c r="H660" s="32"/>
      <c r="J660" s="4">
        <f aca="true" t="shared" si="71" ref="J660:J723">J659+D660+E660+F660+G660+H660+I660</f>
        <v>-42183819.989499986</v>
      </c>
      <c r="K660" s="6">
        <f aca="true" t="shared" si="72" ref="K660:K723">DATEDIF(A660,A661,"d")</f>
        <v>0</v>
      </c>
      <c r="L660" s="9">
        <f aca="true" t="shared" si="73" ref="L660:L723">J660*K660*0.2/365</f>
        <v>0</v>
      </c>
    </row>
    <row r="661" spans="1:12" ht="12.75">
      <c r="A661" s="14">
        <v>39255</v>
      </c>
      <c r="B661" s="47" t="s">
        <v>160</v>
      </c>
      <c r="D661" s="48">
        <v>-11551.79</v>
      </c>
      <c r="E661" s="17"/>
      <c r="F661" s="49"/>
      <c r="G661" s="31"/>
      <c r="H661" s="32"/>
      <c r="J661" s="4">
        <f t="shared" si="71"/>
        <v>-42195371.779499985</v>
      </c>
      <c r="K661" s="6">
        <f t="shared" si="72"/>
        <v>0</v>
      </c>
      <c r="L661" s="9">
        <f t="shared" si="73"/>
        <v>0</v>
      </c>
    </row>
    <row r="662" spans="1:12" ht="12.75">
      <c r="A662" s="14">
        <v>39255</v>
      </c>
      <c r="B662" s="47" t="s">
        <v>21</v>
      </c>
      <c r="D662" s="48">
        <v>-6064.7</v>
      </c>
      <c r="E662" s="17"/>
      <c r="F662" s="49"/>
      <c r="G662" s="31"/>
      <c r="H662" s="32"/>
      <c r="J662" s="4">
        <f t="shared" si="71"/>
        <v>-42201436.47949999</v>
      </c>
      <c r="K662" s="6">
        <f t="shared" si="72"/>
        <v>3</v>
      </c>
      <c r="L662" s="9">
        <f t="shared" si="73"/>
        <v>-69372.22434986298</v>
      </c>
    </row>
    <row r="663" spans="1:12" ht="12.75">
      <c r="A663" s="14">
        <v>39258</v>
      </c>
      <c r="B663" s="30" t="s">
        <v>164</v>
      </c>
      <c r="C663" s="29">
        <f>330303.25*0.8</f>
        <v>264242.60000000003</v>
      </c>
      <c r="D663" s="71"/>
      <c r="E663" s="32"/>
      <c r="F663" s="31"/>
      <c r="G663" s="31"/>
      <c r="H663" s="32"/>
      <c r="J663" s="4">
        <f t="shared" si="71"/>
        <v>-42201436.47949999</v>
      </c>
      <c r="K663" s="6">
        <f t="shared" si="72"/>
        <v>0</v>
      </c>
      <c r="L663" s="9">
        <f t="shared" si="73"/>
        <v>0</v>
      </c>
    </row>
    <row r="664" spans="1:12" ht="12.75">
      <c r="A664" s="14">
        <v>39258</v>
      </c>
      <c r="B664" s="13" t="s">
        <v>32</v>
      </c>
      <c r="C664" s="17">
        <f>-C663</f>
        <v>-264242.60000000003</v>
      </c>
      <c r="D664" s="46"/>
      <c r="E664" s="17"/>
      <c r="F664" s="31"/>
      <c r="G664" s="31"/>
      <c r="H664" s="32">
        <f>-C664</f>
        <v>264242.60000000003</v>
      </c>
      <c r="J664" s="4">
        <f t="shared" si="71"/>
        <v>-41937193.87949999</v>
      </c>
      <c r="K664" s="6">
        <f t="shared" si="72"/>
        <v>0</v>
      </c>
      <c r="L664" s="9">
        <f t="shared" si="73"/>
        <v>0</v>
      </c>
    </row>
    <row r="665" spans="1:12" ht="12.75">
      <c r="A665" s="14">
        <v>39258</v>
      </c>
      <c r="B665" s="47" t="s">
        <v>176</v>
      </c>
      <c r="D665" s="48">
        <v>-63275.6</v>
      </c>
      <c r="E665" s="17"/>
      <c r="F665" s="49"/>
      <c r="G665" s="31"/>
      <c r="H665" s="32"/>
      <c r="J665" s="4">
        <f t="shared" si="71"/>
        <v>-42000469.47949999</v>
      </c>
      <c r="K665" s="6">
        <f t="shared" si="72"/>
        <v>0</v>
      </c>
      <c r="L665" s="9">
        <f t="shared" si="73"/>
        <v>0</v>
      </c>
    </row>
    <row r="666" spans="1:12" ht="12.75">
      <c r="A666" s="14">
        <v>39258</v>
      </c>
      <c r="B666" s="47" t="s">
        <v>45</v>
      </c>
      <c r="D666" s="48">
        <v>-500000</v>
      </c>
      <c r="E666" s="17"/>
      <c r="F666" s="49"/>
      <c r="G666" s="31"/>
      <c r="H666" s="32"/>
      <c r="J666" s="4">
        <f t="shared" si="71"/>
        <v>-42500469.47949999</v>
      </c>
      <c r="K666" s="6">
        <f t="shared" si="72"/>
        <v>0</v>
      </c>
      <c r="L666" s="9">
        <f t="shared" si="73"/>
        <v>0</v>
      </c>
    </row>
    <row r="667" spans="1:12" ht="12.75">
      <c r="A667" s="14">
        <v>39258</v>
      </c>
      <c r="B667" s="47" t="s">
        <v>135</v>
      </c>
      <c r="D667" s="48">
        <v>-20000</v>
      </c>
      <c r="E667" s="17"/>
      <c r="F667" s="49"/>
      <c r="G667" s="31"/>
      <c r="H667" s="32"/>
      <c r="J667" s="4">
        <f t="shared" si="71"/>
        <v>-42520469.47949999</v>
      </c>
      <c r="K667" s="6">
        <f t="shared" si="72"/>
        <v>0</v>
      </c>
      <c r="L667" s="9">
        <f t="shared" si="73"/>
        <v>0</v>
      </c>
    </row>
    <row r="668" spans="1:12" ht="12.75">
      <c r="A668" s="14">
        <v>39258</v>
      </c>
      <c r="B668" s="47" t="s">
        <v>28</v>
      </c>
      <c r="D668" s="48">
        <v>-189000</v>
      </c>
      <c r="E668" s="17"/>
      <c r="F668" s="49"/>
      <c r="G668" s="31"/>
      <c r="H668" s="32"/>
      <c r="J668" s="4">
        <f t="shared" si="71"/>
        <v>-42709469.47949999</v>
      </c>
      <c r="K668" s="6">
        <f t="shared" si="72"/>
        <v>0</v>
      </c>
      <c r="L668" s="9">
        <f t="shared" si="73"/>
        <v>0</v>
      </c>
    </row>
    <row r="669" spans="1:12" ht="12.75">
      <c r="A669" s="14">
        <v>39258</v>
      </c>
      <c r="B669" s="47" t="s">
        <v>20</v>
      </c>
      <c r="D669" s="48">
        <v>-15900</v>
      </c>
      <c r="E669" s="17"/>
      <c r="F669" s="49"/>
      <c r="G669" s="31"/>
      <c r="H669" s="32"/>
      <c r="J669" s="4">
        <f t="shared" si="71"/>
        <v>-42725369.47949999</v>
      </c>
      <c r="K669" s="6">
        <f t="shared" si="72"/>
        <v>0</v>
      </c>
      <c r="L669" s="9">
        <f t="shared" si="73"/>
        <v>0</v>
      </c>
    </row>
    <row r="670" spans="1:12" ht="12.75">
      <c r="A670" s="14">
        <v>39258</v>
      </c>
      <c r="B670" s="13" t="s">
        <v>173</v>
      </c>
      <c r="C670" s="17"/>
      <c r="D670" s="46"/>
      <c r="E670" s="17"/>
      <c r="G670" s="48">
        <v>-13576.5</v>
      </c>
      <c r="H670" s="32"/>
      <c r="J670" s="4">
        <f t="shared" si="71"/>
        <v>-42738945.97949999</v>
      </c>
      <c r="K670" s="6">
        <f t="shared" si="72"/>
        <v>0</v>
      </c>
      <c r="L670" s="9">
        <f t="shared" si="73"/>
        <v>0</v>
      </c>
    </row>
    <row r="671" spans="1:12" ht="12.75">
      <c r="A671" s="23">
        <v>39258</v>
      </c>
      <c r="B671" s="13" t="s">
        <v>21</v>
      </c>
      <c r="C671" s="17"/>
      <c r="D671" s="46">
        <v>-6071.71</v>
      </c>
      <c r="E671" s="17"/>
      <c r="G671" s="17"/>
      <c r="H671" s="32"/>
      <c r="J671" s="4">
        <f t="shared" si="71"/>
        <v>-42745017.68949999</v>
      </c>
      <c r="K671" s="6">
        <f t="shared" si="72"/>
        <v>1</v>
      </c>
      <c r="L671" s="9">
        <f t="shared" si="73"/>
        <v>-23421.927501095888</v>
      </c>
    </row>
    <row r="672" spans="1:12" ht="12.75">
      <c r="A672" s="23">
        <v>39259</v>
      </c>
      <c r="B672" s="63" t="s">
        <v>28</v>
      </c>
      <c r="D672" s="17">
        <v>-31500</v>
      </c>
      <c r="E672" s="17"/>
      <c r="F672" s="15"/>
      <c r="G672" s="31"/>
      <c r="H672" s="32"/>
      <c r="J672" s="4">
        <f t="shared" si="71"/>
        <v>-42776517.68949999</v>
      </c>
      <c r="K672" s="6">
        <f t="shared" si="72"/>
        <v>0</v>
      </c>
      <c r="L672" s="9">
        <f t="shared" si="73"/>
        <v>0</v>
      </c>
    </row>
    <row r="673" spans="1:12" ht="12.75">
      <c r="A673" s="23">
        <v>39259</v>
      </c>
      <c r="B673" s="63" t="s">
        <v>45</v>
      </c>
      <c r="D673" s="17">
        <v>-300000</v>
      </c>
      <c r="E673" s="17"/>
      <c r="F673" s="15"/>
      <c r="G673" s="31"/>
      <c r="H673" s="32"/>
      <c r="J673" s="4">
        <f t="shared" si="71"/>
        <v>-43076517.68949999</v>
      </c>
      <c r="K673" s="6">
        <f t="shared" si="72"/>
        <v>0</v>
      </c>
      <c r="L673" s="9">
        <f t="shared" si="73"/>
        <v>0</v>
      </c>
    </row>
    <row r="674" spans="1:12" ht="12.75">
      <c r="A674" s="23">
        <v>39259</v>
      </c>
      <c r="B674" s="63" t="s">
        <v>20</v>
      </c>
      <c r="D674" s="17">
        <v>-212000</v>
      </c>
      <c r="E674" s="17"/>
      <c r="F674" s="15"/>
      <c r="G674" s="31"/>
      <c r="H674" s="32"/>
      <c r="J674" s="4">
        <f t="shared" si="71"/>
        <v>-43288517.68949999</v>
      </c>
      <c r="K674" s="6">
        <f t="shared" si="72"/>
        <v>0</v>
      </c>
      <c r="L674" s="9">
        <f t="shared" si="73"/>
        <v>0</v>
      </c>
    </row>
    <row r="675" spans="1:12" ht="12.75">
      <c r="A675" s="23">
        <v>39259</v>
      </c>
      <c r="B675" s="13" t="s">
        <v>174</v>
      </c>
      <c r="C675" s="17"/>
      <c r="D675" s="46"/>
      <c r="E675" s="17"/>
      <c r="F675" s="15"/>
      <c r="G675" s="17">
        <v>-86000</v>
      </c>
      <c r="H675" s="32"/>
      <c r="J675" s="4">
        <f t="shared" si="71"/>
        <v>-43374517.68949999</v>
      </c>
      <c r="K675" s="6">
        <f t="shared" si="72"/>
        <v>0</v>
      </c>
      <c r="L675" s="9">
        <f t="shared" si="73"/>
        <v>0</v>
      </c>
    </row>
    <row r="676" spans="1:12" ht="12.75">
      <c r="A676" s="23">
        <v>39259</v>
      </c>
      <c r="B676" s="30" t="s">
        <v>165</v>
      </c>
      <c r="C676" s="29">
        <f>(1985955.5+2267017.75)*0.8</f>
        <v>3402378.6</v>
      </c>
      <c r="D676" s="71"/>
      <c r="E676" s="32"/>
      <c r="F676" s="31"/>
      <c r="G676" s="15"/>
      <c r="H676" s="32"/>
      <c r="J676" s="4">
        <f t="shared" si="71"/>
        <v>-43374517.68949999</v>
      </c>
      <c r="K676" s="6">
        <f t="shared" si="72"/>
        <v>0</v>
      </c>
      <c r="L676" s="9">
        <f t="shared" si="73"/>
        <v>0</v>
      </c>
    </row>
    <row r="677" spans="1:12" ht="12.75">
      <c r="A677" s="23">
        <v>39259</v>
      </c>
      <c r="B677" s="13" t="s">
        <v>32</v>
      </c>
      <c r="C677" s="17">
        <f>-C676</f>
        <v>-3402378.6</v>
      </c>
      <c r="D677" s="46"/>
      <c r="E677" s="17"/>
      <c r="F677" s="31"/>
      <c r="G677" s="31"/>
      <c r="H677" s="32">
        <f>-C677</f>
        <v>3402378.6</v>
      </c>
      <c r="J677" s="4">
        <f t="shared" si="71"/>
        <v>-39972139.08949999</v>
      </c>
      <c r="K677" s="6">
        <f t="shared" si="72"/>
        <v>0</v>
      </c>
      <c r="L677" s="9">
        <f t="shared" si="73"/>
        <v>0</v>
      </c>
    </row>
    <row r="678" spans="1:12" ht="12.75">
      <c r="A678" s="23">
        <v>39259</v>
      </c>
      <c r="B678" s="30" t="s">
        <v>166</v>
      </c>
      <c r="C678" s="29">
        <f>(2693728.4+2333632.85)*0.8</f>
        <v>4021889</v>
      </c>
      <c r="D678" s="71"/>
      <c r="E678" s="32"/>
      <c r="F678" s="31"/>
      <c r="G678" s="31"/>
      <c r="H678" s="32"/>
      <c r="J678" s="4">
        <f t="shared" si="71"/>
        <v>-39972139.08949999</v>
      </c>
      <c r="K678" s="6">
        <f t="shared" si="72"/>
        <v>0</v>
      </c>
      <c r="L678" s="9">
        <f t="shared" si="73"/>
        <v>0</v>
      </c>
    </row>
    <row r="679" spans="1:12" ht="12.75">
      <c r="A679" s="23">
        <v>39259</v>
      </c>
      <c r="B679" s="13" t="s">
        <v>32</v>
      </c>
      <c r="C679" s="17">
        <f>-C678</f>
        <v>-4021889</v>
      </c>
      <c r="D679" s="46"/>
      <c r="E679" s="17"/>
      <c r="F679" s="31"/>
      <c r="G679" s="31"/>
      <c r="H679" s="32">
        <f>-C679</f>
        <v>4021889</v>
      </c>
      <c r="J679" s="4">
        <f t="shared" si="71"/>
        <v>-35950250.08949999</v>
      </c>
      <c r="K679" s="6">
        <f t="shared" si="72"/>
        <v>1</v>
      </c>
      <c r="L679" s="9">
        <f t="shared" si="73"/>
        <v>-19698.76717232876</v>
      </c>
    </row>
    <row r="680" spans="1:12" ht="12.75">
      <c r="A680" s="23">
        <v>39260</v>
      </c>
      <c r="B680" s="63" t="s">
        <v>28</v>
      </c>
      <c r="D680" s="17">
        <v>-105000</v>
      </c>
      <c r="E680" s="17"/>
      <c r="F680" s="15"/>
      <c r="G680" s="31"/>
      <c r="H680" s="32"/>
      <c r="J680" s="4">
        <f t="shared" si="71"/>
        <v>-36055250.08949999</v>
      </c>
      <c r="K680" s="6">
        <f t="shared" si="72"/>
        <v>0</v>
      </c>
      <c r="L680" s="9">
        <f t="shared" si="73"/>
        <v>0</v>
      </c>
    </row>
    <row r="681" spans="1:12" ht="12.75">
      <c r="A681" s="23">
        <v>39260</v>
      </c>
      <c r="B681" s="13" t="s">
        <v>21</v>
      </c>
      <c r="C681" s="17"/>
      <c r="D681" s="46">
        <v>-2117.92</v>
      </c>
      <c r="E681" s="17"/>
      <c r="G681" s="17"/>
      <c r="H681" s="32"/>
      <c r="J681" s="4">
        <f t="shared" si="71"/>
        <v>-36057368.00949999</v>
      </c>
      <c r="K681" s="6">
        <f t="shared" si="72"/>
        <v>1</v>
      </c>
      <c r="L681" s="9">
        <f t="shared" si="73"/>
        <v>-19757.461923013692</v>
      </c>
    </row>
    <row r="682" spans="1:12" ht="12.75">
      <c r="A682" s="23">
        <v>39261</v>
      </c>
      <c r="B682" s="63" t="s">
        <v>45</v>
      </c>
      <c r="D682" s="17">
        <v>-200000</v>
      </c>
      <c r="E682" s="17"/>
      <c r="F682" s="15"/>
      <c r="G682" s="31"/>
      <c r="H682" s="32"/>
      <c r="J682" s="4">
        <f t="shared" si="71"/>
        <v>-36257368.00949999</v>
      </c>
      <c r="K682" s="6">
        <f t="shared" si="72"/>
        <v>0</v>
      </c>
      <c r="L682" s="9">
        <f t="shared" si="73"/>
        <v>0</v>
      </c>
    </row>
    <row r="683" spans="1:12" ht="12.75">
      <c r="A683" s="23">
        <v>39261</v>
      </c>
      <c r="B683" s="63" t="s">
        <v>175</v>
      </c>
      <c r="D683" s="17">
        <v>-1400</v>
      </c>
      <c r="E683" s="17"/>
      <c r="F683" s="15"/>
      <c r="G683" s="31"/>
      <c r="H683" s="32"/>
      <c r="J683" s="4">
        <f t="shared" si="71"/>
        <v>-36258768.00949999</v>
      </c>
      <c r="K683" s="6">
        <f t="shared" si="72"/>
        <v>0</v>
      </c>
      <c r="L683" s="9">
        <f t="shared" si="73"/>
        <v>0</v>
      </c>
    </row>
    <row r="684" spans="1:12" ht="12.75">
      <c r="A684" s="23">
        <v>39261</v>
      </c>
      <c r="B684" s="63" t="s">
        <v>177</v>
      </c>
      <c r="D684" s="17">
        <v>-6825</v>
      </c>
      <c r="E684" s="17"/>
      <c r="F684" s="15"/>
      <c r="G684" s="31"/>
      <c r="H684" s="32"/>
      <c r="J684" s="4">
        <f t="shared" si="71"/>
        <v>-36265593.00949999</v>
      </c>
      <c r="K684" s="6">
        <f t="shared" si="72"/>
        <v>0</v>
      </c>
      <c r="L684" s="9">
        <f t="shared" si="73"/>
        <v>0</v>
      </c>
    </row>
    <row r="685" spans="1:12" ht="12.75">
      <c r="A685" s="23">
        <v>39261</v>
      </c>
      <c r="B685" s="63" t="s">
        <v>178</v>
      </c>
      <c r="D685" s="17">
        <v>-16000</v>
      </c>
      <c r="E685" s="17"/>
      <c r="F685" s="15"/>
      <c r="G685" s="31"/>
      <c r="H685" s="32"/>
      <c r="J685" s="4">
        <f t="shared" si="71"/>
        <v>-36281593.00949999</v>
      </c>
      <c r="K685" s="6">
        <f t="shared" si="72"/>
        <v>0</v>
      </c>
      <c r="L685" s="9">
        <f t="shared" si="73"/>
        <v>0</v>
      </c>
    </row>
    <row r="686" spans="1:12" ht="12.75">
      <c r="A686" s="23">
        <v>39261</v>
      </c>
      <c r="B686" s="63" t="s">
        <v>20</v>
      </c>
      <c r="D686" s="17">
        <v>-159000</v>
      </c>
      <c r="E686" s="17"/>
      <c r="F686" s="15"/>
      <c r="G686" s="31"/>
      <c r="H686" s="32"/>
      <c r="J686" s="4">
        <f t="shared" si="71"/>
        <v>-36440593.00949999</v>
      </c>
      <c r="K686" s="6">
        <f t="shared" si="72"/>
        <v>0</v>
      </c>
      <c r="L686" s="9">
        <f t="shared" si="73"/>
        <v>0</v>
      </c>
    </row>
    <row r="687" spans="1:12" ht="12.75">
      <c r="A687" s="23">
        <v>39261</v>
      </c>
      <c r="B687" s="63" t="s">
        <v>28</v>
      </c>
      <c r="D687" s="15">
        <v>-94500</v>
      </c>
      <c r="E687" s="17"/>
      <c r="F687" s="15"/>
      <c r="G687" s="31"/>
      <c r="H687" s="32"/>
      <c r="J687" s="4">
        <f t="shared" si="71"/>
        <v>-36535093.00949999</v>
      </c>
      <c r="K687" s="6">
        <f t="shared" si="72"/>
        <v>0</v>
      </c>
      <c r="L687" s="9">
        <f t="shared" si="73"/>
        <v>0</v>
      </c>
    </row>
    <row r="688" spans="1:12" ht="12.75">
      <c r="A688" s="23">
        <v>39261</v>
      </c>
      <c r="B688" s="30" t="s">
        <v>167</v>
      </c>
      <c r="C688" s="29">
        <f>237386.6*0.8</f>
        <v>189909.28000000003</v>
      </c>
      <c r="D688" s="71"/>
      <c r="E688" s="32"/>
      <c r="F688" s="31"/>
      <c r="G688" s="31"/>
      <c r="H688" s="32"/>
      <c r="J688" s="4">
        <f t="shared" si="71"/>
        <v>-36535093.00949999</v>
      </c>
      <c r="K688" s="6">
        <f t="shared" si="72"/>
        <v>0</v>
      </c>
      <c r="L688" s="9">
        <f t="shared" si="73"/>
        <v>0</v>
      </c>
    </row>
    <row r="689" spans="1:12" ht="12.75">
      <c r="A689" s="23">
        <v>39261</v>
      </c>
      <c r="B689" s="13" t="s">
        <v>32</v>
      </c>
      <c r="C689" s="17">
        <f>-C688</f>
        <v>-189909.28000000003</v>
      </c>
      <c r="D689" s="46"/>
      <c r="E689" s="17"/>
      <c r="F689" s="31"/>
      <c r="G689" s="31"/>
      <c r="H689" s="32">
        <f>-C689</f>
        <v>189909.28000000003</v>
      </c>
      <c r="J689" s="4">
        <f t="shared" si="71"/>
        <v>-36345183.72949999</v>
      </c>
      <c r="K689" s="6">
        <f t="shared" si="72"/>
        <v>0</v>
      </c>
      <c r="L689" s="9">
        <f t="shared" si="73"/>
        <v>0</v>
      </c>
    </row>
    <row r="690" spans="1:12" ht="12.75">
      <c r="A690" s="23">
        <v>39261</v>
      </c>
      <c r="B690" s="13" t="s">
        <v>37</v>
      </c>
      <c r="C690" s="17"/>
      <c r="D690" s="17">
        <v>-50307</v>
      </c>
      <c r="F690" s="31"/>
      <c r="G690" s="31"/>
      <c r="H690" s="32"/>
      <c r="J690" s="4">
        <f t="shared" si="71"/>
        <v>-36395490.72949999</v>
      </c>
      <c r="K690" s="6">
        <f t="shared" si="72"/>
        <v>2</v>
      </c>
      <c r="L690" s="9">
        <f t="shared" si="73"/>
        <v>-39885.46929260273</v>
      </c>
    </row>
    <row r="691" spans="1:12" ht="12.75">
      <c r="A691" s="14">
        <v>39263</v>
      </c>
      <c r="B691" s="13" t="s">
        <v>7</v>
      </c>
      <c r="C691" s="17"/>
      <c r="D691" s="46"/>
      <c r="E691" s="17">
        <v>-54000</v>
      </c>
      <c r="F691" s="31"/>
      <c r="G691" s="31"/>
      <c r="H691" s="32"/>
      <c r="J691" s="4">
        <f t="shared" si="71"/>
        <v>-36449490.72949999</v>
      </c>
      <c r="K691" s="6">
        <f t="shared" si="72"/>
        <v>2</v>
      </c>
      <c r="L691" s="9">
        <f t="shared" si="73"/>
        <v>-39944.64737479451</v>
      </c>
    </row>
    <row r="692" spans="1:12" ht="12.75">
      <c r="A692" s="14">
        <v>39265</v>
      </c>
      <c r="B692" s="47" t="s">
        <v>28</v>
      </c>
      <c r="C692" s="17"/>
      <c r="D692" s="48">
        <v>-210000</v>
      </c>
      <c r="E692" s="17"/>
      <c r="F692" s="31"/>
      <c r="G692" s="31"/>
      <c r="H692" s="32"/>
      <c r="J692" s="4">
        <f t="shared" si="71"/>
        <v>-36659490.72949999</v>
      </c>
      <c r="K692" s="6">
        <f t="shared" si="72"/>
        <v>0</v>
      </c>
      <c r="L692" s="9">
        <f t="shared" si="73"/>
        <v>0</v>
      </c>
    </row>
    <row r="693" spans="1:12" ht="12.75">
      <c r="A693" s="14">
        <v>39265</v>
      </c>
      <c r="B693" s="47" t="s">
        <v>20</v>
      </c>
      <c r="C693" s="17"/>
      <c r="D693" s="48">
        <v>-159000</v>
      </c>
      <c r="E693" s="17"/>
      <c r="F693" s="31"/>
      <c r="G693" s="31"/>
      <c r="H693" s="32"/>
      <c r="J693" s="4">
        <f t="shared" si="71"/>
        <v>-36818490.72949999</v>
      </c>
      <c r="K693" s="6">
        <f t="shared" si="72"/>
        <v>0</v>
      </c>
      <c r="L693" s="9">
        <f t="shared" si="73"/>
        <v>0</v>
      </c>
    </row>
    <row r="694" spans="1:12" ht="12.75">
      <c r="A694" s="14">
        <v>39265</v>
      </c>
      <c r="B694" s="47" t="s">
        <v>158</v>
      </c>
      <c r="C694" s="17"/>
      <c r="D694" s="48">
        <v>-210000</v>
      </c>
      <c r="E694" s="17"/>
      <c r="F694" s="31"/>
      <c r="G694" s="31"/>
      <c r="H694" s="32"/>
      <c r="J694" s="4">
        <f t="shared" si="71"/>
        <v>-37028490.72949999</v>
      </c>
      <c r="K694" s="6">
        <f t="shared" si="72"/>
        <v>0</v>
      </c>
      <c r="L694" s="9">
        <f t="shared" si="73"/>
        <v>0</v>
      </c>
    </row>
    <row r="695" spans="1:12" ht="12.75">
      <c r="A695" s="14">
        <v>39265</v>
      </c>
      <c r="B695" s="47" t="s">
        <v>179</v>
      </c>
      <c r="C695" s="17"/>
      <c r="D695" s="48">
        <v>-201325</v>
      </c>
      <c r="E695" s="17"/>
      <c r="F695" s="31"/>
      <c r="G695" s="31"/>
      <c r="H695" s="32"/>
      <c r="J695" s="4">
        <f t="shared" si="71"/>
        <v>-37229815.72949999</v>
      </c>
      <c r="K695" s="6">
        <f t="shared" si="72"/>
        <v>1</v>
      </c>
      <c r="L695" s="9">
        <f t="shared" si="73"/>
        <v>-20399.89902986301</v>
      </c>
    </row>
    <row r="696" spans="1:12" ht="12.75">
      <c r="A696" s="14">
        <v>39266</v>
      </c>
      <c r="B696" s="47" t="s">
        <v>20</v>
      </c>
      <c r="C696" s="17"/>
      <c r="D696" s="48">
        <v>-10600</v>
      </c>
      <c r="E696" s="17"/>
      <c r="F696" s="31"/>
      <c r="G696" s="31"/>
      <c r="H696" s="32"/>
      <c r="J696" s="4">
        <f t="shared" si="71"/>
        <v>-37240415.72949999</v>
      </c>
      <c r="K696" s="6">
        <f t="shared" si="72"/>
        <v>0</v>
      </c>
      <c r="L696" s="9">
        <f t="shared" si="73"/>
        <v>0</v>
      </c>
    </row>
    <row r="697" spans="1:12" ht="12.75">
      <c r="A697" s="14">
        <v>39266</v>
      </c>
      <c r="B697" s="47" t="s">
        <v>20</v>
      </c>
      <c r="C697" s="17"/>
      <c r="D697" s="48">
        <v>-53000</v>
      </c>
      <c r="E697" s="17"/>
      <c r="F697" s="31"/>
      <c r="G697" s="31"/>
      <c r="H697" s="32"/>
      <c r="J697" s="4">
        <f t="shared" si="71"/>
        <v>-37293415.72949999</v>
      </c>
      <c r="K697" s="6">
        <f t="shared" si="72"/>
        <v>0</v>
      </c>
      <c r="L697" s="9">
        <f t="shared" si="73"/>
        <v>0</v>
      </c>
    </row>
    <row r="698" spans="1:12" ht="12.75">
      <c r="A698" s="14">
        <v>39266</v>
      </c>
      <c r="B698" s="47" t="s">
        <v>20</v>
      </c>
      <c r="C698" s="17"/>
      <c r="D698" s="48">
        <v>-10600</v>
      </c>
      <c r="E698" s="17"/>
      <c r="F698" s="31"/>
      <c r="G698" s="31"/>
      <c r="H698" s="32"/>
      <c r="J698" s="4">
        <f t="shared" si="71"/>
        <v>-37304015.72949999</v>
      </c>
      <c r="K698" s="6">
        <f t="shared" si="72"/>
        <v>0</v>
      </c>
      <c r="L698" s="9">
        <f t="shared" si="73"/>
        <v>0</v>
      </c>
    </row>
    <row r="699" spans="1:12" ht="12.75">
      <c r="A699" s="14">
        <v>39266</v>
      </c>
      <c r="B699" s="47" t="s">
        <v>20</v>
      </c>
      <c r="C699" s="17"/>
      <c r="D699" s="48">
        <v>-105000</v>
      </c>
      <c r="E699" s="17"/>
      <c r="F699" s="31"/>
      <c r="G699" s="31"/>
      <c r="H699" s="32"/>
      <c r="J699" s="4">
        <f t="shared" si="71"/>
        <v>-37409015.72949999</v>
      </c>
      <c r="K699" s="6">
        <f t="shared" si="72"/>
        <v>0</v>
      </c>
      <c r="L699" s="9">
        <f t="shared" si="73"/>
        <v>0</v>
      </c>
    </row>
    <row r="700" spans="1:12" ht="12.75">
      <c r="A700" s="14">
        <v>39266</v>
      </c>
      <c r="B700" s="47" t="s">
        <v>180</v>
      </c>
      <c r="C700" s="17"/>
      <c r="D700" s="48">
        <v>-220000</v>
      </c>
      <c r="E700" s="17"/>
      <c r="F700" s="31"/>
      <c r="G700" s="31"/>
      <c r="H700" s="32"/>
      <c r="J700" s="4">
        <f t="shared" si="71"/>
        <v>-37629015.72949999</v>
      </c>
      <c r="K700" s="6">
        <f t="shared" si="72"/>
        <v>2</v>
      </c>
      <c r="L700" s="9">
        <f t="shared" si="73"/>
        <v>-41237.27751178081</v>
      </c>
    </row>
    <row r="701" spans="1:12" ht="12.75">
      <c r="A701" s="14">
        <v>39268</v>
      </c>
      <c r="B701" s="47" t="s">
        <v>181</v>
      </c>
      <c r="C701" s="17"/>
      <c r="D701" s="48">
        <v>-170000</v>
      </c>
      <c r="E701" s="17"/>
      <c r="F701" s="31"/>
      <c r="G701" s="31"/>
      <c r="H701" s="32"/>
      <c r="J701" s="4">
        <f t="shared" si="71"/>
        <v>-37799015.72949999</v>
      </c>
      <c r="K701" s="6">
        <f t="shared" si="72"/>
        <v>0</v>
      </c>
      <c r="L701" s="9">
        <f t="shared" si="73"/>
        <v>0</v>
      </c>
    </row>
    <row r="702" spans="1:12" ht="12.75">
      <c r="A702" s="14">
        <v>39268</v>
      </c>
      <c r="B702" s="13" t="s">
        <v>7</v>
      </c>
      <c r="C702" s="17"/>
      <c r="D702" s="46"/>
      <c r="E702" s="17">
        <v>-92300</v>
      </c>
      <c r="F702" s="31"/>
      <c r="G702" s="31"/>
      <c r="H702" s="32"/>
      <c r="J702" s="4">
        <f t="shared" si="71"/>
        <v>-37891315.72949999</v>
      </c>
      <c r="K702" s="6">
        <f t="shared" si="72"/>
        <v>0</v>
      </c>
      <c r="L702" s="9">
        <f t="shared" si="73"/>
        <v>0</v>
      </c>
    </row>
    <row r="703" spans="1:12" ht="12.75">
      <c r="A703" s="14">
        <v>39268</v>
      </c>
      <c r="B703" s="47" t="s">
        <v>40</v>
      </c>
      <c r="C703" s="17"/>
      <c r="D703" s="48">
        <v>-100000</v>
      </c>
      <c r="E703" s="17"/>
      <c r="F703" s="31"/>
      <c r="G703" s="31"/>
      <c r="H703" s="32"/>
      <c r="J703" s="4">
        <f t="shared" si="71"/>
        <v>-37991315.72949999</v>
      </c>
      <c r="K703" s="6">
        <f t="shared" si="72"/>
        <v>0</v>
      </c>
      <c r="L703" s="9">
        <f t="shared" si="73"/>
        <v>0</v>
      </c>
    </row>
    <row r="704" spans="1:12" ht="12.75">
      <c r="A704" s="14">
        <v>39268</v>
      </c>
      <c r="B704" s="47" t="s">
        <v>28</v>
      </c>
      <c r="C704" s="17"/>
      <c r="D704" s="48">
        <v>-154350</v>
      </c>
      <c r="E704" s="17"/>
      <c r="F704" s="31"/>
      <c r="G704" s="31"/>
      <c r="H704" s="32"/>
      <c r="J704" s="4">
        <f t="shared" si="71"/>
        <v>-38145665.72949999</v>
      </c>
      <c r="K704" s="6">
        <f t="shared" si="72"/>
        <v>0</v>
      </c>
      <c r="L704" s="9">
        <f t="shared" si="73"/>
        <v>0</v>
      </c>
    </row>
    <row r="705" spans="1:12" ht="12.75">
      <c r="A705" s="14">
        <v>39268</v>
      </c>
      <c r="B705" s="47" t="s">
        <v>182</v>
      </c>
      <c r="C705" s="17"/>
      <c r="D705" s="48">
        <v>-122000</v>
      </c>
      <c r="E705" s="17"/>
      <c r="F705" s="31"/>
      <c r="G705" s="31"/>
      <c r="H705" s="32"/>
      <c r="J705" s="4">
        <f t="shared" si="71"/>
        <v>-38267665.72949999</v>
      </c>
      <c r="K705" s="6">
        <f t="shared" si="72"/>
        <v>0</v>
      </c>
      <c r="L705" s="9">
        <f t="shared" si="73"/>
        <v>0</v>
      </c>
    </row>
    <row r="706" spans="1:12" ht="12.75">
      <c r="A706" s="14">
        <v>39268</v>
      </c>
      <c r="B706" s="47" t="s">
        <v>20</v>
      </c>
      <c r="C706" s="17"/>
      <c r="D706" s="48">
        <v>-71444</v>
      </c>
      <c r="E706" s="17"/>
      <c r="F706" s="31"/>
      <c r="G706" s="31"/>
      <c r="H706" s="32"/>
      <c r="J706" s="4">
        <f t="shared" si="71"/>
        <v>-38339109.72949999</v>
      </c>
      <c r="K706" s="6">
        <f t="shared" si="72"/>
        <v>0</v>
      </c>
      <c r="L706" s="9">
        <f t="shared" si="73"/>
        <v>0</v>
      </c>
    </row>
    <row r="707" spans="1:12" ht="12.75">
      <c r="A707" s="14">
        <v>39268</v>
      </c>
      <c r="B707" s="47" t="s">
        <v>27</v>
      </c>
      <c r="C707" s="17"/>
      <c r="D707" s="48">
        <v>-93181.5</v>
      </c>
      <c r="E707" s="17"/>
      <c r="F707" s="31"/>
      <c r="G707" s="31"/>
      <c r="H707" s="32"/>
      <c r="J707" s="4">
        <f t="shared" si="71"/>
        <v>-38432291.22949999</v>
      </c>
      <c r="K707" s="6">
        <f t="shared" si="72"/>
        <v>1</v>
      </c>
      <c r="L707" s="9">
        <f t="shared" si="73"/>
        <v>-21058.789714794515</v>
      </c>
    </row>
    <row r="708" spans="1:12" ht="12.75">
      <c r="A708" s="14">
        <v>39269</v>
      </c>
      <c r="B708" s="47" t="s">
        <v>183</v>
      </c>
      <c r="C708" s="17"/>
      <c r="D708" s="48">
        <v>-135000</v>
      </c>
      <c r="E708" s="17"/>
      <c r="F708" s="31"/>
      <c r="G708" s="31"/>
      <c r="H708" s="32"/>
      <c r="J708" s="4">
        <f t="shared" si="71"/>
        <v>-38567291.22949999</v>
      </c>
      <c r="K708" s="6">
        <f t="shared" si="72"/>
        <v>0</v>
      </c>
      <c r="L708" s="9">
        <f t="shared" si="73"/>
        <v>0</v>
      </c>
    </row>
    <row r="709" spans="1:12" ht="12.75">
      <c r="A709" s="14">
        <v>39269</v>
      </c>
      <c r="B709" s="47" t="s">
        <v>27</v>
      </c>
      <c r="C709" s="17"/>
      <c r="D709" s="48">
        <v>-106124.65</v>
      </c>
      <c r="E709" s="17"/>
      <c r="F709" s="31"/>
      <c r="G709" s="31"/>
      <c r="H709" s="32"/>
      <c r="J709" s="4">
        <f t="shared" si="71"/>
        <v>-38673415.87949999</v>
      </c>
      <c r="K709" s="6">
        <f t="shared" si="72"/>
        <v>0</v>
      </c>
      <c r="L709" s="9">
        <f t="shared" si="73"/>
        <v>0</v>
      </c>
    </row>
    <row r="710" spans="1:12" ht="12.75">
      <c r="A710" s="14">
        <v>39269</v>
      </c>
      <c r="B710" s="47" t="s">
        <v>186</v>
      </c>
      <c r="C710" s="17"/>
      <c r="D710" s="48"/>
      <c r="E710" s="17"/>
      <c r="F710" s="31"/>
      <c r="G710" s="49">
        <v>-2000</v>
      </c>
      <c r="H710" s="32"/>
      <c r="J710" s="4">
        <f t="shared" si="71"/>
        <v>-38675415.87949999</v>
      </c>
      <c r="K710" s="6">
        <f t="shared" si="72"/>
        <v>2</v>
      </c>
      <c r="L710" s="9">
        <f t="shared" si="73"/>
        <v>-42384.01740219176</v>
      </c>
    </row>
    <row r="711" spans="1:12" ht="12.75">
      <c r="A711" s="14">
        <v>39271</v>
      </c>
      <c r="B711" s="13" t="s">
        <v>152</v>
      </c>
      <c r="D711" s="49"/>
      <c r="E711" s="17"/>
      <c r="F711" s="49">
        <v>-281254</v>
      </c>
      <c r="G711" s="31"/>
      <c r="H711" s="32"/>
      <c r="J711" s="4">
        <f t="shared" si="71"/>
        <v>-38956669.87949999</v>
      </c>
      <c r="K711" s="6">
        <f t="shared" si="72"/>
        <v>0</v>
      </c>
      <c r="L711" s="9">
        <f t="shared" si="73"/>
        <v>0</v>
      </c>
    </row>
    <row r="712" spans="1:12" ht="12.75">
      <c r="A712" s="14">
        <v>39271</v>
      </c>
      <c r="B712" s="13" t="s">
        <v>152</v>
      </c>
      <c r="D712" s="49"/>
      <c r="E712" s="17"/>
      <c r="F712" s="49">
        <v>-550</v>
      </c>
      <c r="G712" s="31"/>
      <c r="H712" s="32"/>
      <c r="J712" s="4">
        <f t="shared" si="71"/>
        <v>-38957219.87949999</v>
      </c>
      <c r="K712" s="6">
        <f t="shared" si="72"/>
        <v>0</v>
      </c>
      <c r="L712" s="9">
        <f t="shared" si="73"/>
        <v>0</v>
      </c>
    </row>
    <row r="713" spans="1:12" ht="12.75">
      <c r="A713" s="14">
        <v>39271</v>
      </c>
      <c r="B713" s="13" t="s">
        <v>152</v>
      </c>
      <c r="D713" s="49"/>
      <c r="E713" s="17"/>
      <c r="F713" s="49">
        <v>-10180</v>
      </c>
      <c r="G713" s="31"/>
      <c r="H713" s="32"/>
      <c r="J713" s="4">
        <f t="shared" si="71"/>
        <v>-38967399.87949999</v>
      </c>
      <c r="K713" s="6">
        <f t="shared" si="72"/>
        <v>0</v>
      </c>
      <c r="L713" s="9">
        <f t="shared" si="73"/>
        <v>0</v>
      </c>
    </row>
    <row r="714" spans="1:12" ht="12.75">
      <c r="A714" s="14">
        <v>39271</v>
      </c>
      <c r="B714" s="13" t="s">
        <v>152</v>
      </c>
      <c r="D714" s="49"/>
      <c r="E714" s="17"/>
      <c r="F714" s="49">
        <v>-12003</v>
      </c>
      <c r="G714" s="31"/>
      <c r="H714" s="32"/>
      <c r="J714" s="4">
        <f t="shared" si="71"/>
        <v>-38979402.87949999</v>
      </c>
      <c r="K714" s="6">
        <f t="shared" si="72"/>
        <v>0</v>
      </c>
      <c r="L714" s="9">
        <f t="shared" si="73"/>
        <v>0</v>
      </c>
    </row>
    <row r="715" spans="1:12" ht="12.75">
      <c r="A715" s="14">
        <v>39271</v>
      </c>
      <c r="B715" s="13" t="s">
        <v>152</v>
      </c>
      <c r="D715" s="49"/>
      <c r="E715" s="17"/>
      <c r="F715" s="49">
        <v>-103114</v>
      </c>
      <c r="G715" s="31"/>
      <c r="H715" s="32"/>
      <c r="J715" s="4">
        <f t="shared" si="71"/>
        <v>-39082516.87949999</v>
      </c>
      <c r="K715" s="6">
        <f t="shared" si="72"/>
        <v>0</v>
      </c>
      <c r="L715" s="9">
        <f t="shared" si="73"/>
        <v>0</v>
      </c>
    </row>
    <row r="716" spans="1:12" ht="12.75">
      <c r="A716" s="14">
        <v>39271</v>
      </c>
      <c r="B716" s="13" t="s">
        <v>152</v>
      </c>
      <c r="D716" s="49"/>
      <c r="E716" s="17"/>
      <c r="F716" s="49">
        <v>-765</v>
      </c>
      <c r="G716" s="31"/>
      <c r="H716" s="32"/>
      <c r="J716" s="4">
        <f t="shared" si="71"/>
        <v>-39083281.87949999</v>
      </c>
      <c r="K716" s="6">
        <f t="shared" si="72"/>
        <v>0</v>
      </c>
      <c r="L716" s="9">
        <f t="shared" si="73"/>
        <v>0</v>
      </c>
    </row>
    <row r="717" spans="1:12" ht="12.75">
      <c r="A717" s="14">
        <v>39271</v>
      </c>
      <c r="B717" s="13" t="s">
        <v>152</v>
      </c>
      <c r="D717" s="49"/>
      <c r="E717" s="17"/>
      <c r="F717" s="49">
        <v>-2850</v>
      </c>
      <c r="G717" s="31"/>
      <c r="H717" s="32"/>
      <c r="J717" s="4">
        <f t="shared" si="71"/>
        <v>-39086131.87949999</v>
      </c>
      <c r="K717" s="6">
        <f t="shared" si="72"/>
        <v>0</v>
      </c>
      <c r="L717" s="9">
        <f t="shared" si="73"/>
        <v>0</v>
      </c>
    </row>
    <row r="718" spans="1:12" ht="12.75">
      <c r="A718" s="14">
        <v>39271</v>
      </c>
      <c r="B718" s="13" t="s">
        <v>152</v>
      </c>
      <c r="D718" s="49"/>
      <c r="E718" s="17"/>
      <c r="F718" s="49">
        <v>-34332</v>
      </c>
      <c r="G718" s="31"/>
      <c r="H718" s="32"/>
      <c r="J718" s="4">
        <f t="shared" si="71"/>
        <v>-39120463.87949999</v>
      </c>
      <c r="K718" s="6">
        <f t="shared" si="72"/>
        <v>0</v>
      </c>
      <c r="L718" s="9">
        <f t="shared" si="73"/>
        <v>0</v>
      </c>
    </row>
    <row r="719" spans="1:12" ht="12.75">
      <c r="A719" s="14">
        <v>39271</v>
      </c>
      <c r="B719" s="13" t="s">
        <v>152</v>
      </c>
      <c r="D719" s="49"/>
      <c r="E719" s="17"/>
      <c r="F719" s="49">
        <v>-2507.09</v>
      </c>
      <c r="G719" s="31"/>
      <c r="H719" s="32"/>
      <c r="J719" s="4">
        <f t="shared" si="71"/>
        <v>-39122970.96949999</v>
      </c>
      <c r="K719" s="6">
        <f t="shared" si="72"/>
        <v>0</v>
      </c>
      <c r="L719" s="9">
        <f t="shared" si="73"/>
        <v>0</v>
      </c>
    </row>
    <row r="720" spans="1:13" ht="12.75">
      <c r="A720" s="14">
        <v>39271</v>
      </c>
      <c r="B720" s="13" t="s">
        <v>152</v>
      </c>
      <c r="D720" s="49"/>
      <c r="E720" s="17"/>
      <c r="F720" s="49">
        <v>-5079.02</v>
      </c>
      <c r="G720" s="31"/>
      <c r="H720" s="32"/>
      <c r="J720" s="4">
        <f t="shared" si="71"/>
        <v>-39128049.98949999</v>
      </c>
      <c r="K720" s="6">
        <f t="shared" si="72"/>
        <v>0</v>
      </c>
      <c r="L720" s="9">
        <f t="shared" si="73"/>
        <v>0</v>
      </c>
      <c r="M720" s="81" t="s">
        <v>157</v>
      </c>
    </row>
    <row r="721" spans="1:12" ht="12.75">
      <c r="A721" s="14">
        <v>39271</v>
      </c>
      <c r="B721" s="13" t="s">
        <v>152</v>
      </c>
      <c r="D721" s="49"/>
      <c r="E721" s="17"/>
      <c r="F721" s="49">
        <v>-12147.82</v>
      </c>
      <c r="G721" s="31"/>
      <c r="H721" s="32"/>
      <c r="J721" s="4">
        <f t="shared" si="71"/>
        <v>-39140197.809499994</v>
      </c>
      <c r="K721" s="6">
        <f t="shared" si="72"/>
        <v>0</v>
      </c>
      <c r="L721" s="9">
        <f t="shared" si="73"/>
        <v>0</v>
      </c>
    </row>
    <row r="722" spans="1:12" ht="12.75">
      <c r="A722" s="14">
        <v>39271</v>
      </c>
      <c r="B722" s="13" t="s">
        <v>152</v>
      </c>
      <c r="D722" s="49"/>
      <c r="E722" s="17"/>
      <c r="F722" s="49">
        <v>-72617</v>
      </c>
      <c r="G722" s="31"/>
      <c r="H722" s="32"/>
      <c r="J722" s="4">
        <f t="shared" si="71"/>
        <v>-39212814.809499994</v>
      </c>
      <c r="K722" s="6">
        <f t="shared" si="72"/>
        <v>0</v>
      </c>
      <c r="L722" s="9">
        <f t="shared" si="73"/>
        <v>0</v>
      </c>
    </row>
    <row r="723" spans="1:12" ht="12.75">
      <c r="A723" s="14">
        <v>39271</v>
      </c>
      <c r="B723" s="13" t="s">
        <v>152</v>
      </c>
      <c r="D723" s="49"/>
      <c r="E723" s="17"/>
      <c r="F723" s="49">
        <v>-678</v>
      </c>
      <c r="G723" s="31"/>
      <c r="H723" s="32"/>
      <c r="J723" s="4">
        <f t="shared" si="71"/>
        <v>-39213492.809499994</v>
      </c>
      <c r="K723" s="6">
        <f t="shared" si="72"/>
        <v>0</v>
      </c>
      <c r="L723" s="9">
        <f t="shared" si="73"/>
        <v>0</v>
      </c>
    </row>
    <row r="724" spans="1:12" ht="12.75">
      <c r="A724" s="14">
        <v>39271</v>
      </c>
      <c r="B724" s="13" t="s">
        <v>152</v>
      </c>
      <c r="D724" s="49"/>
      <c r="E724" s="17"/>
      <c r="F724" s="49">
        <v>-742</v>
      </c>
      <c r="G724" s="31"/>
      <c r="H724" s="32"/>
      <c r="J724" s="4">
        <f aca="true" t="shared" si="74" ref="J724:J787">J723+D724+E724+F724+G724+H724+I724</f>
        <v>-39214234.809499994</v>
      </c>
      <c r="K724" s="6">
        <f aca="true" t="shared" si="75" ref="K724:K787">DATEDIF(A724,A725,"d")</f>
        <v>0</v>
      </c>
      <c r="L724" s="9">
        <f aca="true" t="shared" si="76" ref="L724:L787">J724*K724*0.2/365</f>
        <v>0</v>
      </c>
    </row>
    <row r="725" spans="1:12" ht="12.75">
      <c r="A725" s="14">
        <v>39271</v>
      </c>
      <c r="B725" s="13" t="s">
        <v>152</v>
      </c>
      <c r="D725" s="49"/>
      <c r="E725" s="17"/>
      <c r="F725" s="49">
        <v>-1240</v>
      </c>
      <c r="G725" s="31"/>
      <c r="H725" s="32"/>
      <c r="J725" s="4">
        <f t="shared" si="74"/>
        <v>-39215474.809499994</v>
      </c>
      <c r="K725" s="6">
        <f t="shared" si="75"/>
        <v>0</v>
      </c>
      <c r="L725" s="9">
        <f t="shared" si="76"/>
        <v>0</v>
      </c>
    </row>
    <row r="726" spans="1:12" ht="12.75">
      <c r="A726" s="14">
        <v>39271</v>
      </c>
      <c r="B726" s="13" t="s">
        <v>152</v>
      </c>
      <c r="D726" s="49"/>
      <c r="E726" s="17"/>
      <c r="F726" s="49">
        <v>-2000</v>
      </c>
      <c r="G726" s="31"/>
      <c r="H726" s="32"/>
      <c r="J726" s="4">
        <f t="shared" si="74"/>
        <v>-39217474.809499994</v>
      </c>
      <c r="K726" s="6">
        <f t="shared" si="75"/>
        <v>0</v>
      </c>
      <c r="L726" s="9">
        <f t="shared" si="76"/>
        <v>0</v>
      </c>
    </row>
    <row r="727" spans="1:12" ht="12.75">
      <c r="A727" s="14">
        <v>39271</v>
      </c>
      <c r="B727" s="13" t="s">
        <v>152</v>
      </c>
      <c r="D727" s="49"/>
      <c r="E727" s="17"/>
      <c r="F727" s="49">
        <v>-1442.68</v>
      </c>
      <c r="G727" s="31"/>
      <c r="H727" s="32"/>
      <c r="J727" s="4">
        <f t="shared" si="74"/>
        <v>-39218917.48949999</v>
      </c>
      <c r="K727" s="6">
        <f t="shared" si="75"/>
        <v>0</v>
      </c>
      <c r="L727" s="9">
        <f t="shared" si="76"/>
        <v>0</v>
      </c>
    </row>
    <row r="728" spans="1:12" ht="12.75">
      <c r="A728" s="14">
        <v>39271</v>
      </c>
      <c r="B728" s="13" t="s">
        <v>152</v>
      </c>
      <c r="D728" s="49"/>
      <c r="E728" s="17"/>
      <c r="F728" s="49">
        <v>-9141.25</v>
      </c>
      <c r="G728" s="31"/>
      <c r="H728" s="32"/>
      <c r="J728" s="4">
        <f t="shared" si="74"/>
        <v>-39228058.73949999</v>
      </c>
      <c r="K728" s="6">
        <f t="shared" si="75"/>
        <v>0</v>
      </c>
      <c r="L728" s="9">
        <f t="shared" si="76"/>
        <v>0</v>
      </c>
    </row>
    <row r="729" spans="1:12" ht="12.75">
      <c r="A729" s="14">
        <v>39271</v>
      </c>
      <c r="B729" s="13" t="s">
        <v>152</v>
      </c>
      <c r="D729" s="49"/>
      <c r="E729" s="17"/>
      <c r="F729" s="49">
        <v>-8973.36</v>
      </c>
      <c r="G729" s="31"/>
      <c r="H729" s="32"/>
      <c r="J729" s="4">
        <f t="shared" si="74"/>
        <v>-39237032.09949999</v>
      </c>
      <c r="K729" s="6">
        <f t="shared" si="75"/>
        <v>0</v>
      </c>
      <c r="L729" s="9">
        <f t="shared" si="76"/>
        <v>0</v>
      </c>
    </row>
    <row r="730" spans="1:12" ht="12.75">
      <c r="A730" s="14">
        <v>39271</v>
      </c>
      <c r="B730" s="13" t="s">
        <v>152</v>
      </c>
      <c r="D730" s="49"/>
      <c r="E730" s="17"/>
      <c r="F730" s="49">
        <v>-45876.04</v>
      </c>
      <c r="G730" s="31"/>
      <c r="H730" s="32"/>
      <c r="J730" s="4">
        <f t="shared" si="74"/>
        <v>-39282908.13949999</v>
      </c>
      <c r="K730" s="6">
        <f t="shared" si="75"/>
        <v>0</v>
      </c>
      <c r="L730" s="9">
        <f t="shared" si="76"/>
        <v>0</v>
      </c>
    </row>
    <row r="731" spans="1:12" ht="12.75">
      <c r="A731" s="14">
        <v>39271</v>
      </c>
      <c r="B731" s="13" t="s">
        <v>152</v>
      </c>
      <c r="D731" s="49"/>
      <c r="E731" s="17"/>
      <c r="F731" s="49">
        <v>-7930.46</v>
      </c>
      <c r="G731" s="31"/>
      <c r="H731" s="32"/>
      <c r="J731" s="4">
        <f t="shared" si="74"/>
        <v>-39290838.59949999</v>
      </c>
      <c r="K731" s="6">
        <f t="shared" si="75"/>
        <v>0</v>
      </c>
      <c r="L731" s="9">
        <f t="shared" si="76"/>
        <v>0</v>
      </c>
    </row>
    <row r="732" spans="1:12" ht="12.75">
      <c r="A732" s="14">
        <v>39271</v>
      </c>
      <c r="B732" s="13" t="s">
        <v>152</v>
      </c>
      <c r="D732" s="49"/>
      <c r="E732" s="17"/>
      <c r="F732" s="49">
        <v>-45348.23</v>
      </c>
      <c r="G732" s="31"/>
      <c r="H732" s="32"/>
      <c r="J732" s="4">
        <f t="shared" si="74"/>
        <v>-39336186.82949999</v>
      </c>
      <c r="K732" s="6">
        <f t="shared" si="75"/>
        <v>0</v>
      </c>
      <c r="L732" s="9">
        <f t="shared" si="76"/>
        <v>0</v>
      </c>
    </row>
    <row r="733" spans="1:12" ht="12.75">
      <c r="A733" s="14">
        <v>39271</v>
      </c>
      <c r="B733" s="13" t="s">
        <v>152</v>
      </c>
      <c r="D733" s="49"/>
      <c r="E733" s="17"/>
      <c r="F733" s="49">
        <v>-16407.08</v>
      </c>
      <c r="G733" s="31"/>
      <c r="H733" s="32"/>
      <c r="J733" s="4">
        <f t="shared" si="74"/>
        <v>-39352593.90949999</v>
      </c>
      <c r="K733" s="6">
        <f t="shared" si="75"/>
        <v>0</v>
      </c>
      <c r="L733" s="9">
        <f t="shared" si="76"/>
        <v>0</v>
      </c>
    </row>
    <row r="734" spans="1:12" ht="12.75">
      <c r="A734" s="14">
        <v>39271</v>
      </c>
      <c r="B734" s="13" t="s">
        <v>152</v>
      </c>
      <c r="D734" s="49"/>
      <c r="E734" s="17"/>
      <c r="F734" s="49">
        <v>-10108.25</v>
      </c>
      <c r="G734" s="31"/>
      <c r="H734" s="32"/>
      <c r="J734" s="4">
        <f t="shared" si="74"/>
        <v>-39362702.15949999</v>
      </c>
      <c r="K734" s="6">
        <f t="shared" si="75"/>
        <v>0</v>
      </c>
      <c r="L734" s="9">
        <f t="shared" si="76"/>
        <v>0</v>
      </c>
    </row>
    <row r="735" spans="1:12" ht="12.75">
      <c r="A735" s="14">
        <v>39271</v>
      </c>
      <c r="B735" s="13" t="s">
        <v>152</v>
      </c>
      <c r="D735" s="49"/>
      <c r="E735" s="17"/>
      <c r="F735" s="49">
        <v>-120.72</v>
      </c>
      <c r="G735" s="31"/>
      <c r="H735" s="32"/>
      <c r="J735" s="4">
        <f t="shared" si="74"/>
        <v>-39362822.87949999</v>
      </c>
      <c r="K735" s="6">
        <f t="shared" si="75"/>
        <v>0</v>
      </c>
      <c r="L735" s="9">
        <f t="shared" si="76"/>
        <v>0</v>
      </c>
    </row>
    <row r="736" spans="1:12" ht="12.75">
      <c r="A736" s="14">
        <v>39271</v>
      </c>
      <c r="B736" s="13" t="s">
        <v>152</v>
      </c>
      <c r="D736" s="49"/>
      <c r="E736" s="17"/>
      <c r="F736" s="49">
        <v>-8571.28</v>
      </c>
      <c r="G736" s="31"/>
      <c r="H736" s="32"/>
      <c r="J736" s="4">
        <f t="shared" si="74"/>
        <v>-39371394.15949999</v>
      </c>
      <c r="K736" s="6">
        <f t="shared" si="75"/>
        <v>0</v>
      </c>
      <c r="L736" s="9">
        <f t="shared" si="76"/>
        <v>0</v>
      </c>
    </row>
    <row r="737" spans="1:12" ht="12.75">
      <c r="A737" s="14">
        <v>39271</v>
      </c>
      <c r="B737" s="13" t="s">
        <v>152</v>
      </c>
      <c r="D737" s="49"/>
      <c r="E737" s="17"/>
      <c r="F737" s="49">
        <v>-857.83</v>
      </c>
      <c r="G737" s="31"/>
      <c r="H737" s="32"/>
      <c r="J737" s="4">
        <f t="shared" si="74"/>
        <v>-39372251.989499986</v>
      </c>
      <c r="K737" s="6">
        <f t="shared" si="75"/>
        <v>0</v>
      </c>
      <c r="L737" s="9">
        <f t="shared" si="76"/>
        <v>0</v>
      </c>
    </row>
    <row r="738" spans="1:12" ht="12.75">
      <c r="A738" s="14">
        <v>39271</v>
      </c>
      <c r="B738" s="13" t="s">
        <v>152</v>
      </c>
      <c r="D738" s="49"/>
      <c r="E738" s="17"/>
      <c r="F738" s="49">
        <v>-3586.3</v>
      </c>
      <c r="G738" s="31"/>
      <c r="H738" s="32"/>
      <c r="J738" s="4">
        <f t="shared" si="74"/>
        <v>-39375838.28949998</v>
      </c>
      <c r="K738" s="6">
        <f t="shared" si="75"/>
        <v>0</v>
      </c>
      <c r="L738" s="9">
        <f t="shared" si="76"/>
        <v>0</v>
      </c>
    </row>
    <row r="739" spans="1:12" ht="12.75">
      <c r="A739" s="14">
        <v>39271</v>
      </c>
      <c r="B739" s="13" t="s">
        <v>152</v>
      </c>
      <c r="D739" s="49"/>
      <c r="E739" s="17"/>
      <c r="F739" s="49">
        <v>-4678.33</v>
      </c>
      <c r="G739" s="31"/>
      <c r="H739" s="32"/>
      <c r="J739" s="4">
        <f t="shared" si="74"/>
        <v>-39380516.61949998</v>
      </c>
      <c r="K739" s="6">
        <f t="shared" si="75"/>
        <v>0</v>
      </c>
      <c r="L739" s="9">
        <f t="shared" si="76"/>
        <v>0</v>
      </c>
    </row>
    <row r="740" spans="1:12" ht="12.75">
      <c r="A740" s="14">
        <v>39271</v>
      </c>
      <c r="B740" s="13" t="s">
        <v>152</v>
      </c>
      <c r="D740" s="49"/>
      <c r="E740" s="17"/>
      <c r="F740" s="49">
        <v>-323.46</v>
      </c>
      <c r="G740" s="31"/>
      <c r="H740" s="32"/>
      <c r="J740" s="4">
        <f t="shared" si="74"/>
        <v>-39380840.07949998</v>
      </c>
      <c r="K740" s="6">
        <f t="shared" si="75"/>
        <v>0</v>
      </c>
      <c r="L740" s="9">
        <f t="shared" si="76"/>
        <v>0</v>
      </c>
    </row>
    <row r="741" spans="1:12" ht="12.75">
      <c r="A741" s="14">
        <v>39271</v>
      </c>
      <c r="B741" s="13" t="s">
        <v>152</v>
      </c>
      <c r="D741" s="49"/>
      <c r="E741" s="17"/>
      <c r="F741" s="49">
        <v>-521.01</v>
      </c>
      <c r="G741" s="31"/>
      <c r="H741" s="32"/>
      <c r="J741" s="4">
        <f t="shared" si="74"/>
        <v>-39381361.08949998</v>
      </c>
      <c r="K741" s="6">
        <f t="shared" si="75"/>
        <v>0</v>
      </c>
      <c r="L741" s="9">
        <f t="shared" si="76"/>
        <v>0</v>
      </c>
    </row>
    <row r="742" spans="1:12" ht="12.75">
      <c r="A742" s="14">
        <v>39271</v>
      </c>
      <c r="B742" s="13" t="s">
        <v>152</v>
      </c>
      <c r="D742" s="49"/>
      <c r="E742" s="17"/>
      <c r="F742" s="49">
        <v>-521.01</v>
      </c>
      <c r="G742" s="31"/>
      <c r="H742" s="32"/>
      <c r="J742" s="4">
        <f t="shared" si="74"/>
        <v>-39381882.09949998</v>
      </c>
      <c r="K742" s="6">
        <f t="shared" si="75"/>
        <v>0</v>
      </c>
      <c r="L742" s="9">
        <f t="shared" si="76"/>
        <v>0</v>
      </c>
    </row>
    <row r="743" spans="1:12" ht="12.75">
      <c r="A743" s="14">
        <v>39271</v>
      </c>
      <c r="B743" s="13" t="s">
        <v>152</v>
      </c>
      <c r="D743" s="49"/>
      <c r="E743" s="17"/>
      <c r="F743" s="49">
        <v>-521.01</v>
      </c>
      <c r="G743" s="31"/>
      <c r="H743" s="32"/>
      <c r="J743" s="4">
        <f t="shared" si="74"/>
        <v>-39382403.109499976</v>
      </c>
      <c r="K743" s="6">
        <f t="shared" si="75"/>
        <v>0</v>
      </c>
      <c r="L743" s="9">
        <f t="shared" si="76"/>
        <v>0</v>
      </c>
    </row>
    <row r="744" spans="1:12" ht="12.75">
      <c r="A744" s="14">
        <v>39271</v>
      </c>
      <c r="B744" s="13" t="s">
        <v>152</v>
      </c>
      <c r="D744" s="49"/>
      <c r="E744" s="17"/>
      <c r="F744" s="49">
        <v>-1092.24</v>
      </c>
      <c r="G744" s="31"/>
      <c r="H744" s="32"/>
      <c r="J744" s="4">
        <f t="shared" si="74"/>
        <v>-39383495.34949998</v>
      </c>
      <c r="K744" s="6">
        <f t="shared" si="75"/>
        <v>0</v>
      </c>
      <c r="L744" s="9">
        <f t="shared" si="76"/>
        <v>0</v>
      </c>
    </row>
    <row r="745" spans="1:12" ht="12.75">
      <c r="A745" s="14">
        <v>39271</v>
      </c>
      <c r="B745" s="13" t="s">
        <v>152</v>
      </c>
      <c r="D745" s="49"/>
      <c r="E745" s="17"/>
      <c r="F745" s="49">
        <v>-17.8</v>
      </c>
      <c r="G745" s="31"/>
      <c r="H745" s="32"/>
      <c r="J745" s="4">
        <f t="shared" si="74"/>
        <v>-39383513.149499975</v>
      </c>
      <c r="K745" s="6">
        <f t="shared" si="75"/>
        <v>0</v>
      </c>
      <c r="L745" s="9">
        <f t="shared" si="76"/>
        <v>0</v>
      </c>
    </row>
    <row r="746" spans="1:12" ht="12.75">
      <c r="A746" s="14">
        <v>39271</v>
      </c>
      <c r="B746" s="13" t="s">
        <v>152</v>
      </c>
      <c r="D746" s="49"/>
      <c r="E746" s="17"/>
      <c r="F746" s="49">
        <v>-11438.32</v>
      </c>
      <c r="G746" s="31"/>
      <c r="H746" s="32"/>
      <c r="J746" s="4">
        <f t="shared" si="74"/>
        <v>-39394951.469499975</v>
      </c>
      <c r="K746" s="6">
        <f t="shared" si="75"/>
        <v>0</v>
      </c>
      <c r="L746" s="9">
        <f t="shared" si="76"/>
        <v>0</v>
      </c>
    </row>
    <row r="747" spans="1:12" ht="12.75">
      <c r="A747" s="14">
        <v>39271</v>
      </c>
      <c r="B747" s="13" t="s">
        <v>152</v>
      </c>
      <c r="D747" s="49"/>
      <c r="E747" s="17"/>
      <c r="F747" s="49">
        <v>-3841.52</v>
      </c>
      <c r="G747" s="31"/>
      <c r="H747" s="32"/>
      <c r="J747" s="4">
        <f t="shared" si="74"/>
        <v>-39398792.98949998</v>
      </c>
      <c r="K747" s="6">
        <f t="shared" si="75"/>
        <v>0</v>
      </c>
      <c r="L747" s="9">
        <f t="shared" si="76"/>
        <v>0</v>
      </c>
    </row>
    <row r="748" spans="1:12" ht="12.75">
      <c r="A748" s="14">
        <v>39271</v>
      </c>
      <c r="B748" s="13" t="s">
        <v>152</v>
      </c>
      <c r="D748" s="49"/>
      <c r="E748" s="17"/>
      <c r="F748" s="49">
        <v>-396.54</v>
      </c>
      <c r="G748" s="31"/>
      <c r="H748" s="32"/>
      <c r="J748" s="4">
        <f t="shared" si="74"/>
        <v>-39399189.52949998</v>
      </c>
      <c r="K748" s="6">
        <f t="shared" si="75"/>
        <v>0</v>
      </c>
      <c r="L748" s="9">
        <f t="shared" si="76"/>
        <v>0</v>
      </c>
    </row>
    <row r="749" spans="1:12" ht="12.75">
      <c r="A749" s="14">
        <v>39271</v>
      </c>
      <c r="B749" s="13" t="s">
        <v>152</v>
      </c>
      <c r="D749" s="49"/>
      <c r="E749" s="17"/>
      <c r="F749" s="49">
        <v>-430.2</v>
      </c>
      <c r="G749" s="31"/>
      <c r="H749" s="32"/>
      <c r="J749" s="4">
        <f t="shared" si="74"/>
        <v>-39399619.72949998</v>
      </c>
      <c r="K749" s="6">
        <f t="shared" si="75"/>
        <v>0</v>
      </c>
      <c r="L749" s="9">
        <f t="shared" si="76"/>
        <v>0</v>
      </c>
    </row>
    <row r="750" spans="1:12" ht="12.75">
      <c r="A750" s="14">
        <v>39271</v>
      </c>
      <c r="B750" s="13" t="s">
        <v>152</v>
      </c>
      <c r="D750" s="49"/>
      <c r="E750" s="17"/>
      <c r="F750" s="49">
        <v>-36000.85</v>
      </c>
      <c r="G750" s="31"/>
      <c r="H750" s="32"/>
      <c r="J750" s="4">
        <f t="shared" si="74"/>
        <v>-39435620.57949998</v>
      </c>
      <c r="K750" s="6">
        <f t="shared" si="75"/>
        <v>0</v>
      </c>
      <c r="L750" s="9">
        <f t="shared" si="76"/>
        <v>0</v>
      </c>
    </row>
    <row r="751" spans="1:12" ht="12.75">
      <c r="A751" s="14">
        <v>39271</v>
      </c>
      <c r="B751" s="13" t="s">
        <v>152</v>
      </c>
      <c r="D751" s="49"/>
      <c r="E751" s="17"/>
      <c r="F751" s="49">
        <v>-34781.38</v>
      </c>
      <c r="G751" s="31"/>
      <c r="H751" s="32"/>
      <c r="J751" s="4">
        <f t="shared" si="74"/>
        <v>-39470401.959499985</v>
      </c>
      <c r="K751" s="6">
        <f t="shared" si="75"/>
        <v>0</v>
      </c>
      <c r="L751" s="9">
        <f t="shared" si="76"/>
        <v>0</v>
      </c>
    </row>
    <row r="752" spans="1:12" ht="12.75">
      <c r="A752" s="14">
        <v>39271</v>
      </c>
      <c r="B752" s="13" t="s">
        <v>152</v>
      </c>
      <c r="D752" s="49"/>
      <c r="E752" s="17"/>
      <c r="F752" s="49">
        <v>-36462.28</v>
      </c>
      <c r="G752" s="31"/>
      <c r="H752" s="32"/>
      <c r="J752" s="4">
        <f t="shared" si="74"/>
        <v>-39506864.239499986</v>
      </c>
      <c r="K752" s="6">
        <f t="shared" si="75"/>
        <v>0</v>
      </c>
      <c r="L752" s="9">
        <f t="shared" si="76"/>
        <v>0</v>
      </c>
    </row>
    <row r="753" spans="1:12" ht="12.75">
      <c r="A753" s="14">
        <v>39271</v>
      </c>
      <c r="B753" s="13" t="s">
        <v>152</v>
      </c>
      <c r="D753" s="49"/>
      <c r="E753" s="17"/>
      <c r="F753" s="49">
        <v>-2317.08</v>
      </c>
      <c r="G753" s="31"/>
      <c r="H753" s="32"/>
      <c r="J753" s="4">
        <f t="shared" si="74"/>
        <v>-39509181.319499984</v>
      </c>
      <c r="K753" s="6">
        <f t="shared" si="75"/>
        <v>0</v>
      </c>
      <c r="L753" s="9">
        <f t="shared" si="76"/>
        <v>0</v>
      </c>
    </row>
    <row r="754" spans="1:12" ht="12.75">
      <c r="A754" s="14">
        <v>39271</v>
      </c>
      <c r="B754" s="13" t="s">
        <v>152</v>
      </c>
      <c r="D754" s="49"/>
      <c r="E754" s="17"/>
      <c r="F754" s="49">
        <v>-2976.67</v>
      </c>
      <c r="G754" s="31"/>
      <c r="H754" s="32"/>
      <c r="J754" s="4">
        <f t="shared" si="74"/>
        <v>-39512157.989499986</v>
      </c>
      <c r="K754" s="6">
        <f t="shared" si="75"/>
        <v>0</v>
      </c>
      <c r="L754" s="9">
        <f t="shared" si="76"/>
        <v>0</v>
      </c>
    </row>
    <row r="755" spans="1:12" ht="12.75">
      <c r="A755" s="14">
        <v>39271</v>
      </c>
      <c r="B755" s="13" t="s">
        <v>152</v>
      </c>
      <c r="D755" s="49"/>
      <c r="E755" s="17"/>
      <c r="F755" s="49">
        <v>-657.38</v>
      </c>
      <c r="G755" s="31"/>
      <c r="H755" s="32"/>
      <c r="J755" s="4">
        <f t="shared" si="74"/>
        <v>-39512815.36949999</v>
      </c>
      <c r="K755" s="6">
        <f t="shared" si="75"/>
        <v>0</v>
      </c>
      <c r="L755" s="9">
        <f t="shared" si="76"/>
        <v>0</v>
      </c>
    </row>
    <row r="756" spans="1:12" ht="12.75">
      <c r="A756" s="14">
        <v>39271</v>
      </c>
      <c r="B756" s="13" t="s">
        <v>152</v>
      </c>
      <c r="D756" s="49"/>
      <c r="E756" s="17"/>
      <c r="F756" s="49">
        <v>-7475.08</v>
      </c>
      <c r="G756" s="31"/>
      <c r="H756" s="32"/>
      <c r="J756" s="4">
        <f t="shared" si="74"/>
        <v>-39520290.44949999</v>
      </c>
      <c r="K756" s="6">
        <f t="shared" si="75"/>
        <v>0</v>
      </c>
      <c r="L756" s="9">
        <f t="shared" si="76"/>
        <v>0</v>
      </c>
    </row>
    <row r="757" spans="1:12" ht="12.75">
      <c r="A757" s="14">
        <v>39271</v>
      </c>
      <c r="B757" s="13" t="s">
        <v>152</v>
      </c>
      <c r="D757" s="49"/>
      <c r="E757" s="17"/>
      <c r="F757" s="49">
        <v>-1047.89</v>
      </c>
      <c r="G757" s="31"/>
      <c r="H757" s="32"/>
      <c r="J757" s="4">
        <f t="shared" si="74"/>
        <v>-39521338.33949999</v>
      </c>
      <c r="K757" s="6">
        <f t="shared" si="75"/>
        <v>0</v>
      </c>
      <c r="L757" s="9">
        <f t="shared" si="76"/>
        <v>0</v>
      </c>
    </row>
    <row r="758" spans="1:12" ht="12.75">
      <c r="A758" s="14">
        <v>39271</v>
      </c>
      <c r="B758" s="13" t="s">
        <v>152</v>
      </c>
      <c r="D758" s="49"/>
      <c r="E758" s="17"/>
      <c r="F758" s="49">
        <v>-8829.78</v>
      </c>
      <c r="G758" s="31"/>
      <c r="H758" s="32"/>
      <c r="J758" s="4">
        <f t="shared" si="74"/>
        <v>-39530168.11949999</v>
      </c>
      <c r="K758" s="6">
        <f t="shared" si="75"/>
        <v>0</v>
      </c>
      <c r="L758" s="9">
        <f t="shared" si="76"/>
        <v>0</v>
      </c>
    </row>
    <row r="759" spans="1:12" ht="12.75">
      <c r="A759" s="14">
        <v>39271</v>
      </c>
      <c r="B759" s="13" t="s">
        <v>152</v>
      </c>
      <c r="D759" s="49"/>
      <c r="E759" s="17"/>
      <c r="F759" s="49">
        <v>-7659.57</v>
      </c>
      <c r="G759" s="31"/>
      <c r="H759" s="32"/>
      <c r="J759" s="4">
        <f t="shared" si="74"/>
        <v>-39537827.68949999</v>
      </c>
      <c r="K759" s="6">
        <f t="shared" si="75"/>
        <v>0</v>
      </c>
      <c r="L759" s="9">
        <f t="shared" si="76"/>
        <v>0</v>
      </c>
    </row>
    <row r="760" spans="1:12" ht="12.75">
      <c r="A760" s="14">
        <v>39271</v>
      </c>
      <c r="B760" s="13" t="s">
        <v>152</v>
      </c>
      <c r="D760" s="49"/>
      <c r="E760" s="17"/>
      <c r="F760" s="49">
        <v>-2080.9</v>
      </c>
      <c r="G760" s="31"/>
      <c r="H760" s="32"/>
      <c r="J760" s="4">
        <f t="shared" si="74"/>
        <v>-39539908.58949999</v>
      </c>
      <c r="K760" s="6">
        <f t="shared" si="75"/>
        <v>0</v>
      </c>
      <c r="L760" s="9">
        <f t="shared" si="76"/>
        <v>0</v>
      </c>
    </row>
    <row r="761" spans="1:12" ht="12.75">
      <c r="A761" s="14">
        <v>39271</v>
      </c>
      <c r="B761" s="13" t="s">
        <v>152</v>
      </c>
      <c r="D761" s="49"/>
      <c r="E761" s="17"/>
      <c r="F761" s="49">
        <v>-319.15</v>
      </c>
      <c r="G761" s="31"/>
      <c r="H761" s="32"/>
      <c r="J761" s="4">
        <f t="shared" si="74"/>
        <v>-39540227.739499986</v>
      </c>
      <c r="K761" s="6">
        <f t="shared" si="75"/>
        <v>0</v>
      </c>
      <c r="L761" s="9">
        <f t="shared" si="76"/>
        <v>0</v>
      </c>
    </row>
    <row r="762" spans="1:12" ht="12.75">
      <c r="A762" s="14">
        <v>39271</v>
      </c>
      <c r="B762" s="13" t="s">
        <v>152</v>
      </c>
      <c r="D762" s="49"/>
      <c r="E762" s="17"/>
      <c r="F762" s="49">
        <v>-196.86</v>
      </c>
      <c r="G762" s="31"/>
      <c r="H762" s="32"/>
      <c r="J762" s="4">
        <f t="shared" si="74"/>
        <v>-39540424.599499986</v>
      </c>
      <c r="K762" s="6">
        <f t="shared" si="75"/>
        <v>0</v>
      </c>
      <c r="L762" s="9">
        <f t="shared" si="76"/>
        <v>0</v>
      </c>
    </row>
    <row r="763" spans="1:12" ht="12.75">
      <c r="A763" s="14">
        <v>39271</v>
      </c>
      <c r="B763" s="13" t="s">
        <v>152</v>
      </c>
      <c r="D763" s="49"/>
      <c r="E763" s="17"/>
      <c r="F763" s="49">
        <v>-3450.25</v>
      </c>
      <c r="G763" s="31"/>
      <c r="H763" s="32"/>
      <c r="J763" s="4">
        <f t="shared" si="74"/>
        <v>-39543874.849499986</v>
      </c>
      <c r="K763" s="6">
        <f t="shared" si="75"/>
        <v>0</v>
      </c>
      <c r="L763" s="9">
        <f t="shared" si="76"/>
        <v>0</v>
      </c>
    </row>
    <row r="764" spans="1:12" ht="12.75">
      <c r="A764" s="14">
        <v>39271</v>
      </c>
      <c r="B764" s="13" t="s">
        <v>152</v>
      </c>
      <c r="D764" s="49"/>
      <c r="E764" s="17"/>
      <c r="F764" s="49">
        <v>-6414.49</v>
      </c>
      <c r="G764" s="31"/>
      <c r="H764" s="32"/>
      <c r="J764" s="4">
        <f t="shared" si="74"/>
        <v>-39550289.33949999</v>
      </c>
      <c r="K764" s="6">
        <f t="shared" si="75"/>
        <v>0</v>
      </c>
      <c r="L764" s="9">
        <f t="shared" si="76"/>
        <v>0</v>
      </c>
    </row>
    <row r="765" spans="1:12" ht="12.75">
      <c r="A765" s="14">
        <v>39271</v>
      </c>
      <c r="B765" s="13" t="s">
        <v>152</v>
      </c>
      <c r="D765" s="49"/>
      <c r="E765" s="17"/>
      <c r="F765" s="49">
        <v>-9669.8</v>
      </c>
      <c r="G765" s="31"/>
      <c r="H765" s="32"/>
      <c r="J765" s="4">
        <f t="shared" si="74"/>
        <v>-39559959.139499985</v>
      </c>
      <c r="K765" s="6">
        <f t="shared" si="75"/>
        <v>0</v>
      </c>
      <c r="L765" s="9">
        <f t="shared" si="76"/>
        <v>0</v>
      </c>
    </row>
    <row r="766" spans="1:12" ht="12.75">
      <c r="A766" s="14">
        <v>39271</v>
      </c>
      <c r="B766" s="13" t="s">
        <v>152</v>
      </c>
      <c r="D766" s="49"/>
      <c r="E766" s="17"/>
      <c r="F766" s="49">
        <v>-12.75</v>
      </c>
      <c r="G766" s="31"/>
      <c r="H766" s="32"/>
      <c r="J766" s="4">
        <f t="shared" si="74"/>
        <v>-39559971.889499985</v>
      </c>
      <c r="K766" s="6">
        <f t="shared" si="75"/>
        <v>0</v>
      </c>
      <c r="L766" s="9">
        <f t="shared" si="76"/>
        <v>0</v>
      </c>
    </row>
    <row r="767" spans="1:12" ht="12.75">
      <c r="A767" s="14">
        <v>39271</v>
      </c>
      <c r="B767" s="13" t="s">
        <v>152</v>
      </c>
      <c r="D767" s="49"/>
      <c r="E767" s="17"/>
      <c r="F767" s="49">
        <v>-8037.81</v>
      </c>
      <c r="G767" s="31"/>
      <c r="H767" s="32"/>
      <c r="J767" s="4">
        <f t="shared" si="74"/>
        <v>-39568009.69949999</v>
      </c>
      <c r="K767" s="6">
        <f t="shared" si="75"/>
        <v>0</v>
      </c>
      <c r="L767" s="9">
        <f t="shared" si="76"/>
        <v>0</v>
      </c>
    </row>
    <row r="768" spans="1:12" ht="12.75">
      <c r="A768" s="14">
        <v>39271</v>
      </c>
      <c r="B768" s="13" t="s">
        <v>152</v>
      </c>
      <c r="D768" s="49"/>
      <c r="E768" s="17"/>
      <c r="F768" s="49">
        <v>-521.01</v>
      </c>
      <c r="G768" s="31"/>
      <c r="H768" s="32"/>
      <c r="J768" s="4">
        <f t="shared" si="74"/>
        <v>-39568530.709499985</v>
      </c>
      <c r="K768" s="6">
        <f t="shared" si="75"/>
        <v>0</v>
      </c>
      <c r="L768" s="9">
        <f t="shared" si="76"/>
        <v>0</v>
      </c>
    </row>
    <row r="769" spans="1:12" ht="12.75">
      <c r="A769" s="14">
        <v>39271</v>
      </c>
      <c r="B769" s="13" t="s">
        <v>152</v>
      </c>
      <c r="D769" s="49"/>
      <c r="E769" s="17"/>
      <c r="F769" s="49">
        <v>-5591.46</v>
      </c>
      <c r="G769" s="31"/>
      <c r="H769" s="32"/>
      <c r="J769" s="4">
        <f t="shared" si="74"/>
        <v>-39574122.169499986</v>
      </c>
      <c r="K769" s="6">
        <f t="shared" si="75"/>
        <v>0</v>
      </c>
      <c r="L769" s="9">
        <f t="shared" si="76"/>
        <v>0</v>
      </c>
    </row>
    <row r="770" spans="1:12" ht="12.75">
      <c r="A770" s="14">
        <v>39271</v>
      </c>
      <c r="B770" s="13" t="s">
        <v>152</v>
      </c>
      <c r="D770" s="49"/>
      <c r="E770" s="17"/>
      <c r="F770" s="49">
        <v>-614.37</v>
      </c>
      <c r="G770" s="31"/>
      <c r="H770" s="32"/>
      <c r="J770" s="4">
        <f t="shared" si="74"/>
        <v>-39574736.53949998</v>
      </c>
      <c r="K770" s="6">
        <f t="shared" si="75"/>
        <v>0</v>
      </c>
      <c r="L770" s="9">
        <f t="shared" si="76"/>
        <v>0</v>
      </c>
    </row>
    <row r="771" spans="1:12" ht="12.75">
      <c r="A771" s="14">
        <v>39271</v>
      </c>
      <c r="B771" s="13" t="s">
        <v>152</v>
      </c>
      <c r="D771" s="49"/>
      <c r="E771" s="17"/>
      <c r="F771" s="49">
        <v>-665</v>
      </c>
      <c r="G771" s="31"/>
      <c r="H771" s="32"/>
      <c r="J771" s="4">
        <f t="shared" si="74"/>
        <v>-39575401.53949998</v>
      </c>
      <c r="K771" s="6">
        <f t="shared" si="75"/>
        <v>0</v>
      </c>
      <c r="L771" s="9">
        <f t="shared" si="76"/>
        <v>0</v>
      </c>
    </row>
    <row r="772" spans="1:12" ht="12.75">
      <c r="A772" s="14">
        <v>39271</v>
      </c>
      <c r="B772" s="13" t="s">
        <v>152</v>
      </c>
      <c r="D772" s="49"/>
      <c r="E772" s="17"/>
      <c r="F772" s="49">
        <v>-281.15</v>
      </c>
      <c r="G772" s="31"/>
      <c r="H772" s="32"/>
      <c r="J772" s="4">
        <f t="shared" si="74"/>
        <v>-39575682.68949998</v>
      </c>
      <c r="K772" s="6">
        <f t="shared" si="75"/>
        <v>0</v>
      </c>
      <c r="L772" s="9">
        <f t="shared" si="76"/>
        <v>0</v>
      </c>
    </row>
    <row r="773" spans="1:12" ht="12.75">
      <c r="A773" s="14">
        <v>39271</v>
      </c>
      <c r="B773" s="13" t="s">
        <v>152</v>
      </c>
      <c r="D773" s="49"/>
      <c r="E773" s="17"/>
      <c r="F773" s="49">
        <v>-2960.97</v>
      </c>
      <c r="G773" s="31"/>
      <c r="H773" s="32"/>
      <c r="J773" s="4">
        <f t="shared" si="74"/>
        <v>-39578643.65949998</v>
      </c>
      <c r="K773" s="6">
        <f t="shared" si="75"/>
        <v>0</v>
      </c>
      <c r="L773" s="9">
        <f t="shared" si="76"/>
        <v>0</v>
      </c>
    </row>
    <row r="774" spans="1:12" ht="12.75">
      <c r="A774" s="14">
        <v>39271</v>
      </c>
      <c r="B774" s="13" t="s">
        <v>152</v>
      </c>
      <c r="D774" s="49"/>
      <c r="E774" s="17"/>
      <c r="F774" s="49">
        <v>-10169.33</v>
      </c>
      <c r="G774" s="31"/>
      <c r="H774" s="32"/>
      <c r="J774" s="4">
        <f t="shared" si="74"/>
        <v>-39588812.98949998</v>
      </c>
      <c r="K774" s="6">
        <f t="shared" si="75"/>
        <v>0</v>
      </c>
      <c r="L774" s="9">
        <f t="shared" si="76"/>
        <v>0</v>
      </c>
    </row>
    <row r="775" spans="1:12" ht="12.75">
      <c r="A775" s="14">
        <v>39271</v>
      </c>
      <c r="B775" s="13" t="s">
        <v>152</v>
      </c>
      <c r="D775" s="49"/>
      <c r="E775" s="17"/>
      <c r="F775" s="49">
        <v>-2477.49</v>
      </c>
      <c r="G775" s="31"/>
      <c r="H775" s="32"/>
      <c r="J775" s="4">
        <f t="shared" si="74"/>
        <v>-39591290.47949998</v>
      </c>
      <c r="K775" s="6">
        <f t="shared" si="75"/>
        <v>0</v>
      </c>
      <c r="L775" s="9">
        <f t="shared" si="76"/>
        <v>0</v>
      </c>
    </row>
    <row r="776" spans="1:12" ht="12.75">
      <c r="A776" s="14">
        <v>39271</v>
      </c>
      <c r="B776" s="13" t="s">
        <v>152</v>
      </c>
      <c r="D776" s="49"/>
      <c r="E776" s="17"/>
      <c r="F776" s="49">
        <v>-31.91</v>
      </c>
      <c r="G776" s="31"/>
      <c r="H776" s="32"/>
      <c r="J776" s="4">
        <f t="shared" si="74"/>
        <v>-39591322.38949998</v>
      </c>
      <c r="K776" s="6">
        <f t="shared" si="75"/>
        <v>0</v>
      </c>
      <c r="L776" s="9">
        <f t="shared" si="76"/>
        <v>0</v>
      </c>
    </row>
    <row r="777" spans="1:12" ht="12.75">
      <c r="A777" s="14">
        <v>39271</v>
      </c>
      <c r="B777" s="13" t="s">
        <v>152</v>
      </c>
      <c r="D777" s="49"/>
      <c r="E777" s="17"/>
      <c r="F777" s="49">
        <v>-2717.61</v>
      </c>
      <c r="G777" s="31"/>
      <c r="H777" s="32"/>
      <c r="J777" s="4">
        <f t="shared" si="74"/>
        <v>-39594039.99949998</v>
      </c>
      <c r="K777" s="6">
        <f t="shared" si="75"/>
        <v>0</v>
      </c>
      <c r="L777" s="9">
        <f t="shared" si="76"/>
        <v>0</v>
      </c>
    </row>
    <row r="778" spans="1:12" ht="12.75">
      <c r="A778" s="14">
        <v>39271</v>
      </c>
      <c r="B778" s="13" t="s">
        <v>152</v>
      </c>
      <c r="D778" s="49"/>
      <c r="E778" s="17"/>
      <c r="F778" s="49">
        <v>-1230.88</v>
      </c>
      <c r="G778" s="31"/>
      <c r="H778" s="32"/>
      <c r="J778" s="4">
        <f t="shared" si="74"/>
        <v>-39595270.87949998</v>
      </c>
      <c r="K778" s="6">
        <f t="shared" si="75"/>
        <v>0</v>
      </c>
      <c r="L778" s="9">
        <f t="shared" si="76"/>
        <v>0</v>
      </c>
    </row>
    <row r="779" spans="1:12" ht="12.75">
      <c r="A779" s="14">
        <v>39271</v>
      </c>
      <c r="B779" s="13" t="s">
        <v>152</v>
      </c>
      <c r="D779" s="49"/>
      <c r="E779" s="17"/>
      <c r="F779" s="49">
        <v>-8372.2</v>
      </c>
      <c r="G779" s="31"/>
      <c r="H779" s="32"/>
      <c r="J779" s="4">
        <f t="shared" si="74"/>
        <v>-39603643.07949998</v>
      </c>
      <c r="K779" s="6">
        <f t="shared" si="75"/>
        <v>0</v>
      </c>
      <c r="L779" s="9">
        <f t="shared" si="76"/>
        <v>0</v>
      </c>
    </row>
    <row r="780" spans="1:12" ht="12.75">
      <c r="A780" s="14">
        <v>39271</v>
      </c>
      <c r="B780" s="13" t="s">
        <v>152</v>
      </c>
      <c r="D780" s="49"/>
      <c r="E780" s="17"/>
      <c r="F780" s="49">
        <v>-24447.73</v>
      </c>
      <c r="G780" s="31"/>
      <c r="H780" s="32"/>
      <c r="J780" s="4">
        <f t="shared" si="74"/>
        <v>-39628090.80949998</v>
      </c>
      <c r="K780" s="6">
        <f t="shared" si="75"/>
        <v>0</v>
      </c>
      <c r="L780" s="9">
        <f t="shared" si="76"/>
        <v>0</v>
      </c>
    </row>
    <row r="781" spans="1:12" ht="12.75">
      <c r="A781" s="14">
        <v>39271</v>
      </c>
      <c r="B781" s="13" t="s">
        <v>152</v>
      </c>
      <c r="D781" s="49"/>
      <c r="E781" s="17"/>
      <c r="F781" s="49">
        <v>-8590.43</v>
      </c>
      <c r="G781" s="31"/>
      <c r="H781" s="32"/>
      <c r="J781" s="4">
        <f t="shared" si="74"/>
        <v>-39636681.23949998</v>
      </c>
      <c r="K781" s="6">
        <f t="shared" si="75"/>
        <v>0</v>
      </c>
      <c r="L781" s="9">
        <f t="shared" si="76"/>
        <v>0</v>
      </c>
    </row>
    <row r="782" spans="1:12" ht="12.75">
      <c r="A782" s="14">
        <v>39271</v>
      </c>
      <c r="B782" s="13" t="s">
        <v>152</v>
      </c>
      <c r="D782" s="49"/>
      <c r="E782" s="17"/>
      <c r="F782" s="49">
        <v>-7352.08</v>
      </c>
      <c r="G782" s="31"/>
      <c r="H782" s="32"/>
      <c r="J782" s="4">
        <f t="shared" si="74"/>
        <v>-39644033.31949998</v>
      </c>
      <c r="K782" s="6">
        <f t="shared" si="75"/>
        <v>1</v>
      </c>
      <c r="L782" s="9">
        <f t="shared" si="76"/>
        <v>-21722.757983287658</v>
      </c>
    </row>
    <row r="783" spans="1:12" ht="12.75">
      <c r="A783" s="14">
        <v>39272</v>
      </c>
      <c r="B783" s="13" t="s">
        <v>184</v>
      </c>
      <c r="D783" s="48">
        <v>-200000</v>
      </c>
      <c r="E783" s="17"/>
      <c r="F783" s="49"/>
      <c r="G783" s="31"/>
      <c r="H783" s="32"/>
      <c r="J783" s="4">
        <f t="shared" si="74"/>
        <v>-39844033.31949998</v>
      </c>
      <c r="K783" s="6">
        <f t="shared" si="75"/>
        <v>0</v>
      </c>
      <c r="L783" s="9">
        <f t="shared" si="76"/>
        <v>0</v>
      </c>
    </row>
    <row r="784" spans="1:12" ht="12.75">
      <c r="A784" s="14">
        <v>39272</v>
      </c>
      <c r="B784" s="13" t="s">
        <v>20</v>
      </c>
      <c r="D784" s="49">
        <v>-450500</v>
      </c>
      <c r="E784" s="17"/>
      <c r="F784" s="49"/>
      <c r="G784" s="31"/>
      <c r="H784" s="32"/>
      <c r="J784" s="4">
        <f t="shared" si="74"/>
        <v>-40294533.31949998</v>
      </c>
      <c r="K784" s="6">
        <f t="shared" si="75"/>
        <v>0</v>
      </c>
      <c r="L784" s="9">
        <f t="shared" si="76"/>
        <v>0</v>
      </c>
    </row>
    <row r="785" spans="1:12" ht="12.75">
      <c r="A785" s="14">
        <v>39272</v>
      </c>
      <c r="B785" s="13" t="s">
        <v>27</v>
      </c>
      <c r="D785" s="49">
        <v>-69837.53</v>
      </c>
      <c r="E785" s="17"/>
      <c r="F785" s="49"/>
      <c r="G785" s="31"/>
      <c r="H785" s="32"/>
      <c r="J785" s="4">
        <f t="shared" si="74"/>
        <v>-40364370.84949998</v>
      </c>
      <c r="K785" s="6">
        <f t="shared" si="75"/>
        <v>1</v>
      </c>
      <c r="L785" s="9">
        <f t="shared" si="76"/>
        <v>-22117.463479178074</v>
      </c>
    </row>
    <row r="786" spans="1:12" ht="12.75">
      <c r="A786" s="14">
        <v>39273</v>
      </c>
      <c r="B786" s="13" t="s">
        <v>21</v>
      </c>
      <c r="D786" s="49">
        <v>-21000</v>
      </c>
      <c r="E786" s="17"/>
      <c r="F786" s="49"/>
      <c r="G786" s="31"/>
      <c r="H786" s="32"/>
      <c r="J786" s="4">
        <f t="shared" si="74"/>
        <v>-40385370.84949998</v>
      </c>
      <c r="K786" s="6">
        <f t="shared" si="75"/>
        <v>1</v>
      </c>
      <c r="L786" s="9">
        <f t="shared" si="76"/>
        <v>-22128.970328493142</v>
      </c>
    </row>
    <row r="787" spans="1:12" ht="12.75">
      <c r="A787" s="14">
        <v>39274</v>
      </c>
      <c r="B787" s="47" t="s">
        <v>185</v>
      </c>
      <c r="D787" s="48">
        <v>-100000</v>
      </c>
      <c r="E787" s="17"/>
      <c r="F787" s="49"/>
      <c r="G787" s="31"/>
      <c r="H787" s="32"/>
      <c r="J787" s="4">
        <f t="shared" si="74"/>
        <v>-40485370.84949998</v>
      </c>
      <c r="K787" s="6">
        <f t="shared" si="75"/>
        <v>0</v>
      </c>
      <c r="L787" s="9">
        <f t="shared" si="76"/>
        <v>0</v>
      </c>
    </row>
    <row r="788" spans="1:12" ht="12.75">
      <c r="A788" s="14">
        <v>39274</v>
      </c>
      <c r="B788" s="47" t="s">
        <v>28</v>
      </c>
      <c r="D788" s="48">
        <v>-105000</v>
      </c>
      <c r="E788" s="17"/>
      <c r="F788" s="49"/>
      <c r="G788" s="31"/>
      <c r="H788" s="32"/>
      <c r="J788" s="4">
        <f aca="true" t="shared" si="77" ref="J788:J793">J787+D788+E788+F788+G788+H788+I788</f>
        <v>-40590370.84949998</v>
      </c>
      <c r="K788" s="6">
        <f aca="true" t="shared" si="78" ref="K788:K793">DATEDIF(A788,A789,"d")</f>
        <v>0</v>
      </c>
      <c r="L788" s="9">
        <f aca="true" t="shared" si="79" ref="L788:L793">J788*K788*0.2/365</f>
        <v>0</v>
      </c>
    </row>
    <row r="789" spans="1:12" ht="12.75">
      <c r="A789" s="14">
        <v>39274</v>
      </c>
      <c r="B789" s="47" t="s">
        <v>27</v>
      </c>
      <c r="D789" s="48">
        <v>-20420</v>
      </c>
      <c r="E789" s="17"/>
      <c r="F789" s="49"/>
      <c r="G789" s="31"/>
      <c r="H789" s="32"/>
      <c r="J789" s="4">
        <f t="shared" si="77"/>
        <v>-40610790.84949998</v>
      </c>
      <c r="K789" s="6">
        <f t="shared" si="78"/>
        <v>0</v>
      </c>
      <c r="L789" s="9">
        <f t="shared" si="79"/>
        <v>0</v>
      </c>
    </row>
    <row r="790" spans="1:12" ht="12.75">
      <c r="A790" s="14">
        <v>39274</v>
      </c>
      <c r="B790" s="47" t="s">
        <v>20</v>
      </c>
      <c r="D790" s="49">
        <v>-74200</v>
      </c>
      <c r="E790" s="17"/>
      <c r="F790" s="49"/>
      <c r="G790" s="31"/>
      <c r="H790" s="32"/>
      <c r="J790" s="4">
        <f t="shared" si="77"/>
        <v>-40684990.84949998</v>
      </c>
      <c r="K790" s="6">
        <f t="shared" si="78"/>
        <v>0</v>
      </c>
      <c r="L790" s="9">
        <f t="shared" si="79"/>
        <v>0</v>
      </c>
    </row>
    <row r="791" spans="1:12" ht="12.75">
      <c r="A791" s="14">
        <v>39274</v>
      </c>
      <c r="B791" s="47" t="s">
        <v>47</v>
      </c>
      <c r="D791" s="49"/>
      <c r="E791" s="17"/>
      <c r="F791" s="49"/>
      <c r="G791" s="48">
        <v>-37089.75</v>
      </c>
      <c r="H791" s="32"/>
      <c r="J791" s="4">
        <f t="shared" si="77"/>
        <v>-40722080.59949998</v>
      </c>
      <c r="K791" s="6">
        <f t="shared" si="78"/>
        <v>0</v>
      </c>
      <c r="L791" s="9">
        <f t="shared" si="79"/>
        <v>0</v>
      </c>
    </row>
    <row r="792" spans="1:12" ht="12.75">
      <c r="A792" s="14">
        <v>39274</v>
      </c>
      <c r="B792" s="47" t="s">
        <v>47</v>
      </c>
      <c r="D792" s="49"/>
      <c r="E792" s="17"/>
      <c r="F792" s="49"/>
      <c r="G792" s="49">
        <v>-51000</v>
      </c>
      <c r="H792" s="32"/>
      <c r="J792" s="4">
        <f t="shared" si="77"/>
        <v>-40773080.59949998</v>
      </c>
      <c r="K792" s="6">
        <f t="shared" si="78"/>
        <v>1</v>
      </c>
      <c r="L792" s="9">
        <f t="shared" si="79"/>
        <v>-22341.414027123275</v>
      </c>
    </row>
    <row r="793" spans="1:12" ht="12.75">
      <c r="A793" s="14">
        <v>39275</v>
      </c>
      <c r="B793" s="47" t="s">
        <v>21</v>
      </c>
      <c r="D793" s="49">
        <v>-21000</v>
      </c>
      <c r="E793" s="17"/>
      <c r="F793" s="49"/>
      <c r="G793" s="49"/>
      <c r="H793" s="32"/>
      <c r="J793" s="4">
        <f t="shared" si="77"/>
        <v>-40794080.59949998</v>
      </c>
      <c r="K793" s="6">
        <f t="shared" si="78"/>
        <v>0</v>
      </c>
      <c r="L793" s="9">
        <f t="shared" si="79"/>
        <v>0</v>
      </c>
    </row>
    <row r="794" spans="1:12" ht="12.75">
      <c r="A794" s="14">
        <v>39275</v>
      </c>
      <c r="B794" s="47" t="s">
        <v>20</v>
      </c>
      <c r="D794" s="49">
        <v>-318000</v>
      </c>
      <c r="E794" s="17"/>
      <c r="F794" s="49"/>
      <c r="G794" s="49"/>
      <c r="H794" s="32"/>
      <c r="J794" s="4">
        <f aca="true" t="shared" si="80" ref="J794:J807">J793+D794+E794+F794+G794+H794+I794</f>
        <v>-41112080.59949998</v>
      </c>
      <c r="K794" s="6">
        <f aca="true" t="shared" si="81" ref="K794:K807">DATEDIF(A794,A795,"d")</f>
        <v>0</v>
      </c>
      <c r="L794" s="9">
        <f aca="true" t="shared" si="82" ref="L794:L807">J794*K794*0.2/365</f>
        <v>0</v>
      </c>
    </row>
    <row r="795" spans="1:12" ht="12.75">
      <c r="A795" s="14">
        <v>39275</v>
      </c>
      <c r="B795" s="47" t="s">
        <v>185</v>
      </c>
      <c r="D795" s="49">
        <v>-105000</v>
      </c>
      <c r="E795" s="17"/>
      <c r="F795" s="49"/>
      <c r="G795" s="49"/>
      <c r="H795" s="32"/>
      <c r="J795" s="4">
        <f t="shared" si="80"/>
        <v>-41217080.59949998</v>
      </c>
      <c r="K795" s="6">
        <f t="shared" si="81"/>
        <v>0</v>
      </c>
      <c r="L795" s="9">
        <f t="shared" si="82"/>
        <v>0</v>
      </c>
    </row>
    <row r="796" spans="1:12" ht="12.75">
      <c r="A796" s="14">
        <v>39275</v>
      </c>
      <c r="B796" s="47" t="s">
        <v>21</v>
      </c>
      <c r="D796" s="49">
        <v>-10500</v>
      </c>
      <c r="E796" s="17"/>
      <c r="F796" s="49"/>
      <c r="G796" s="49"/>
      <c r="H796" s="32"/>
      <c r="J796" s="4">
        <f t="shared" si="80"/>
        <v>-41227580.59949998</v>
      </c>
      <c r="K796" s="6">
        <f t="shared" si="81"/>
        <v>1</v>
      </c>
      <c r="L796" s="9">
        <f t="shared" si="82"/>
        <v>-22590.455123013686</v>
      </c>
    </row>
    <row r="797" spans="1:12" ht="12.75">
      <c r="A797" s="14">
        <v>39276</v>
      </c>
      <c r="B797" s="47" t="s">
        <v>30</v>
      </c>
      <c r="D797" s="49"/>
      <c r="E797" s="17"/>
      <c r="F797" s="49"/>
      <c r="G797" s="49">
        <v>-26906.67</v>
      </c>
      <c r="H797" s="32"/>
      <c r="J797" s="4">
        <f t="shared" si="80"/>
        <v>-41254487.26949998</v>
      </c>
      <c r="K797" s="6">
        <f t="shared" si="81"/>
        <v>0</v>
      </c>
      <c r="L797" s="9">
        <f t="shared" si="82"/>
        <v>0</v>
      </c>
    </row>
    <row r="798" spans="1:12" ht="12.75">
      <c r="A798" s="14">
        <v>39276</v>
      </c>
      <c r="B798" s="47" t="s">
        <v>174</v>
      </c>
      <c r="D798" s="49"/>
      <c r="E798" s="17"/>
      <c r="F798" s="49"/>
      <c r="G798" s="49">
        <v>-50130</v>
      </c>
      <c r="H798" s="32"/>
      <c r="J798" s="4">
        <f t="shared" si="80"/>
        <v>-41304617.26949998</v>
      </c>
      <c r="K798" s="6">
        <f t="shared" si="81"/>
        <v>0</v>
      </c>
      <c r="L798" s="9">
        <f t="shared" si="82"/>
        <v>0</v>
      </c>
    </row>
    <row r="799" spans="1:12" ht="12.75">
      <c r="A799" s="14">
        <v>39276</v>
      </c>
      <c r="B799" s="47" t="s">
        <v>174</v>
      </c>
      <c r="D799" s="49"/>
      <c r="E799" s="17"/>
      <c r="F799" s="49"/>
      <c r="G799" s="49">
        <v>-198687</v>
      </c>
      <c r="H799" s="32"/>
      <c r="J799" s="4">
        <f t="shared" si="80"/>
        <v>-41503304.26949998</v>
      </c>
      <c r="K799" s="6">
        <f t="shared" si="81"/>
        <v>3</v>
      </c>
      <c r="L799" s="9">
        <f t="shared" si="82"/>
        <v>-68224.60975808215</v>
      </c>
    </row>
    <row r="800" spans="1:12" ht="12.75">
      <c r="A800" s="14">
        <v>39279</v>
      </c>
      <c r="B800" s="13" t="s">
        <v>7</v>
      </c>
      <c r="D800" s="49"/>
      <c r="E800" s="17">
        <v>-105000</v>
      </c>
      <c r="F800" s="49"/>
      <c r="G800" s="31"/>
      <c r="H800" s="32"/>
      <c r="J800" s="4">
        <f t="shared" si="80"/>
        <v>-41608304.26949998</v>
      </c>
      <c r="K800" s="6">
        <f t="shared" si="81"/>
        <v>0</v>
      </c>
      <c r="L800" s="9">
        <f t="shared" si="82"/>
        <v>0</v>
      </c>
    </row>
    <row r="801" spans="1:12" ht="12.75">
      <c r="A801" s="14">
        <v>39279</v>
      </c>
      <c r="B801" s="13" t="s">
        <v>7</v>
      </c>
      <c r="D801" s="49"/>
      <c r="E801" s="17">
        <v>-97500</v>
      </c>
      <c r="F801" s="49"/>
      <c r="G801" s="31"/>
      <c r="H801" s="32"/>
      <c r="J801" s="4">
        <f t="shared" si="80"/>
        <v>-41705804.26949998</v>
      </c>
      <c r="K801" s="6">
        <f t="shared" si="81"/>
        <v>0</v>
      </c>
      <c r="L801" s="9">
        <f t="shared" si="82"/>
        <v>0</v>
      </c>
    </row>
    <row r="802" spans="1:12" ht="12.75">
      <c r="A802" s="14">
        <v>39279</v>
      </c>
      <c r="B802" s="13" t="s">
        <v>7</v>
      </c>
      <c r="D802" s="49"/>
      <c r="E802" s="17">
        <v>-52500</v>
      </c>
      <c r="F802" s="49"/>
      <c r="G802" s="31"/>
      <c r="H802" s="32"/>
      <c r="J802" s="4">
        <f t="shared" si="80"/>
        <v>-41758304.26949998</v>
      </c>
      <c r="K802" s="6">
        <f t="shared" si="81"/>
        <v>0</v>
      </c>
      <c r="L802" s="9">
        <f t="shared" si="82"/>
        <v>0</v>
      </c>
    </row>
    <row r="803" spans="1:12" ht="12.75">
      <c r="A803" s="14">
        <v>39279</v>
      </c>
      <c r="B803" s="13" t="s">
        <v>7</v>
      </c>
      <c r="D803" s="49"/>
      <c r="E803" s="17">
        <v>-75000</v>
      </c>
      <c r="F803" s="49"/>
      <c r="G803" s="31"/>
      <c r="H803" s="32"/>
      <c r="J803" s="4">
        <f t="shared" si="80"/>
        <v>-41833304.26949998</v>
      </c>
      <c r="K803" s="6">
        <f t="shared" si="81"/>
        <v>0</v>
      </c>
      <c r="L803" s="9">
        <f t="shared" si="82"/>
        <v>0</v>
      </c>
    </row>
    <row r="804" spans="1:12" ht="12.75">
      <c r="A804" s="14">
        <v>39279</v>
      </c>
      <c r="B804" s="13" t="s">
        <v>20</v>
      </c>
      <c r="D804" s="49">
        <v>-265000</v>
      </c>
      <c r="E804" s="17"/>
      <c r="F804" s="49"/>
      <c r="G804" s="31"/>
      <c r="H804" s="32"/>
      <c r="J804" s="4">
        <f t="shared" si="80"/>
        <v>-42098304.26949998</v>
      </c>
      <c r="K804" s="6">
        <f t="shared" si="81"/>
        <v>1</v>
      </c>
      <c r="L804" s="9">
        <f t="shared" si="82"/>
        <v>-23067.563983287662</v>
      </c>
    </row>
    <row r="805" spans="1:12" ht="12.75">
      <c r="A805" s="14">
        <v>39280</v>
      </c>
      <c r="B805" s="13" t="s">
        <v>7</v>
      </c>
      <c r="D805" s="49"/>
      <c r="E805" s="17">
        <v>-135000</v>
      </c>
      <c r="F805" s="49"/>
      <c r="G805" s="31"/>
      <c r="H805" s="32"/>
      <c r="J805" s="4">
        <f t="shared" si="80"/>
        <v>-42233304.26949998</v>
      </c>
      <c r="K805" s="6">
        <f t="shared" si="81"/>
        <v>0</v>
      </c>
      <c r="L805" s="9">
        <f t="shared" si="82"/>
        <v>0</v>
      </c>
    </row>
    <row r="806" spans="1:12" ht="12.75">
      <c r="A806" s="14">
        <v>39280</v>
      </c>
      <c r="B806" s="13" t="s">
        <v>7</v>
      </c>
      <c r="D806" s="49"/>
      <c r="E806" s="17">
        <v>-94500</v>
      </c>
      <c r="F806" s="49"/>
      <c r="G806" s="31"/>
      <c r="H806" s="32"/>
      <c r="J806" s="4">
        <f t="shared" si="80"/>
        <v>-42327804.26949998</v>
      </c>
      <c r="K806" s="6">
        <f t="shared" si="81"/>
        <v>0</v>
      </c>
      <c r="L806" s="9">
        <f t="shared" si="82"/>
        <v>0</v>
      </c>
    </row>
    <row r="807" spans="1:12" ht="12.75">
      <c r="A807" s="14">
        <v>39280</v>
      </c>
      <c r="B807" s="13" t="s">
        <v>7</v>
      </c>
      <c r="D807" s="49"/>
      <c r="E807" s="17">
        <v>-82500</v>
      </c>
      <c r="F807" s="49"/>
      <c r="G807" s="31"/>
      <c r="H807" s="32"/>
      <c r="J807" s="4">
        <f t="shared" si="80"/>
        <v>-42410304.26949998</v>
      </c>
      <c r="K807" s="6">
        <f t="shared" si="81"/>
        <v>0</v>
      </c>
      <c r="L807" s="9">
        <f t="shared" si="82"/>
        <v>0</v>
      </c>
    </row>
    <row r="808" spans="1:12" ht="12.75">
      <c r="A808" s="14">
        <v>39280</v>
      </c>
      <c r="B808" s="13" t="s">
        <v>7</v>
      </c>
      <c r="D808" s="49"/>
      <c r="E808" s="17">
        <v>-105000</v>
      </c>
      <c r="F808" s="49"/>
      <c r="G808" s="31"/>
      <c r="H808" s="32"/>
      <c r="J808" s="4">
        <f aca="true" t="shared" si="83" ref="J808:J871">J807+D808+E808+F808+G808+H808+I808</f>
        <v>-42515304.26949998</v>
      </c>
      <c r="K808" s="6">
        <f aca="true" t="shared" si="84" ref="K808:K871">DATEDIF(A808,A809,"d")</f>
        <v>0</v>
      </c>
      <c r="L808" s="9">
        <f aca="true" t="shared" si="85" ref="L808:L871">J808*K808*0.2/365</f>
        <v>0</v>
      </c>
    </row>
    <row r="809" spans="1:12" ht="12.75">
      <c r="A809" s="14">
        <v>39280</v>
      </c>
      <c r="B809" s="13" t="s">
        <v>7</v>
      </c>
      <c r="D809" s="49"/>
      <c r="E809" s="17">
        <v>-120000</v>
      </c>
      <c r="F809" s="49"/>
      <c r="G809" s="31"/>
      <c r="H809" s="32"/>
      <c r="J809" s="4">
        <f t="shared" si="83"/>
        <v>-42635304.26949998</v>
      </c>
      <c r="K809" s="6">
        <f t="shared" si="84"/>
        <v>0</v>
      </c>
      <c r="L809" s="9">
        <f t="shared" si="85"/>
        <v>0</v>
      </c>
    </row>
    <row r="810" spans="1:12" ht="12.75">
      <c r="A810" s="14">
        <v>39280</v>
      </c>
      <c r="B810" s="13" t="s">
        <v>7</v>
      </c>
      <c r="D810" s="49"/>
      <c r="E810" s="17">
        <v>-127500</v>
      </c>
      <c r="F810" s="49"/>
      <c r="G810" s="31"/>
      <c r="H810" s="32"/>
      <c r="J810" s="4">
        <f t="shared" si="83"/>
        <v>-42762804.26949998</v>
      </c>
      <c r="K810" s="6">
        <f t="shared" si="84"/>
        <v>0</v>
      </c>
      <c r="L810" s="9">
        <f t="shared" si="85"/>
        <v>0</v>
      </c>
    </row>
    <row r="811" spans="1:12" ht="12.75">
      <c r="A811" s="14">
        <v>39280</v>
      </c>
      <c r="B811" s="13" t="s">
        <v>7</v>
      </c>
      <c r="D811" s="49"/>
      <c r="E811" s="17">
        <v>-60000</v>
      </c>
      <c r="F811" s="49"/>
      <c r="G811" s="31"/>
      <c r="H811" s="32"/>
      <c r="J811" s="4">
        <f t="shared" si="83"/>
        <v>-42822804.26949998</v>
      </c>
      <c r="K811" s="6">
        <f t="shared" si="84"/>
        <v>0</v>
      </c>
      <c r="L811" s="9">
        <f t="shared" si="85"/>
        <v>0</v>
      </c>
    </row>
    <row r="812" spans="1:12" ht="12.75">
      <c r="A812" s="14">
        <v>39280</v>
      </c>
      <c r="B812" s="47" t="s">
        <v>189</v>
      </c>
      <c r="D812" s="48">
        <v>-9934.04</v>
      </c>
      <c r="E812" s="17"/>
      <c r="F812" s="49"/>
      <c r="G812" s="31"/>
      <c r="H812" s="32"/>
      <c r="J812" s="4">
        <f t="shared" si="83"/>
        <v>-42832738.30949998</v>
      </c>
      <c r="K812" s="6">
        <f t="shared" si="84"/>
        <v>1</v>
      </c>
      <c r="L812" s="9">
        <f t="shared" si="85"/>
        <v>-23469.993594246567</v>
      </c>
    </row>
    <row r="813" spans="1:12" ht="12.75">
      <c r="A813" s="14">
        <v>39281</v>
      </c>
      <c r="B813" s="47" t="s">
        <v>185</v>
      </c>
      <c r="D813" s="48">
        <v>-200000</v>
      </c>
      <c r="E813" s="17"/>
      <c r="F813" s="49"/>
      <c r="G813" s="31"/>
      <c r="H813" s="32"/>
      <c r="J813" s="4">
        <f t="shared" si="83"/>
        <v>-43032738.30949998</v>
      </c>
      <c r="K813" s="6">
        <f t="shared" si="84"/>
        <v>0</v>
      </c>
      <c r="L813" s="9">
        <f t="shared" si="85"/>
        <v>0</v>
      </c>
    </row>
    <row r="814" spans="1:12" ht="12.75">
      <c r="A814" s="14">
        <v>39281</v>
      </c>
      <c r="B814" s="47" t="s">
        <v>188</v>
      </c>
      <c r="D814" s="48">
        <v>-20000</v>
      </c>
      <c r="E814" s="17"/>
      <c r="F814" s="49"/>
      <c r="G814" s="31"/>
      <c r="H814" s="32"/>
      <c r="J814" s="4">
        <f t="shared" si="83"/>
        <v>-43052738.30949998</v>
      </c>
      <c r="K814" s="6">
        <f t="shared" si="84"/>
        <v>0</v>
      </c>
      <c r="L814" s="9">
        <f t="shared" si="85"/>
        <v>0</v>
      </c>
    </row>
    <row r="815" spans="1:12" ht="12.75">
      <c r="A815" s="14">
        <v>39281</v>
      </c>
      <c r="B815" s="47" t="s">
        <v>20</v>
      </c>
      <c r="D815" s="48">
        <v>-53000</v>
      </c>
      <c r="E815" s="17"/>
      <c r="F815" s="49"/>
      <c r="G815" s="31"/>
      <c r="H815" s="32"/>
      <c r="J815" s="4">
        <f t="shared" si="83"/>
        <v>-43105738.30949998</v>
      </c>
      <c r="K815" s="6">
        <f t="shared" si="84"/>
        <v>0</v>
      </c>
      <c r="L815" s="9">
        <f t="shared" si="85"/>
        <v>0</v>
      </c>
    </row>
    <row r="816" spans="1:12" ht="12.75">
      <c r="A816" s="14">
        <v>39281</v>
      </c>
      <c r="B816" s="13" t="s">
        <v>7</v>
      </c>
      <c r="D816" s="49"/>
      <c r="E816" s="17">
        <v>-82500</v>
      </c>
      <c r="F816" s="49"/>
      <c r="G816" s="31"/>
      <c r="H816" s="32"/>
      <c r="J816" s="4">
        <f t="shared" si="83"/>
        <v>-43188238.30949998</v>
      </c>
      <c r="K816" s="6">
        <f t="shared" si="84"/>
        <v>0</v>
      </c>
      <c r="L816" s="9">
        <f t="shared" si="85"/>
        <v>0</v>
      </c>
    </row>
    <row r="817" spans="1:12" ht="12.75">
      <c r="A817" s="14">
        <v>39281</v>
      </c>
      <c r="B817" s="13" t="s">
        <v>7</v>
      </c>
      <c r="D817" s="33"/>
      <c r="E817" s="17">
        <v>-78000</v>
      </c>
      <c r="F817" s="31"/>
      <c r="G817" s="31"/>
      <c r="H817" s="32"/>
      <c r="J817" s="4">
        <f t="shared" si="83"/>
        <v>-43266238.30949998</v>
      </c>
      <c r="K817" s="6">
        <f t="shared" si="84"/>
        <v>0</v>
      </c>
      <c r="L817" s="9">
        <f t="shared" si="85"/>
        <v>0</v>
      </c>
    </row>
    <row r="818" spans="1:12" ht="12.75">
      <c r="A818" s="14">
        <v>39281</v>
      </c>
      <c r="B818" s="13" t="s">
        <v>7</v>
      </c>
      <c r="D818" s="33"/>
      <c r="E818" s="17">
        <v>-82500</v>
      </c>
      <c r="F818" s="31"/>
      <c r="G818" s="31"/>
      <c r="H818" s="32"/>
      <c r="J818" s="4">
        <f t="shared" si="83"/>
        <v>-43348738.30949998</v>
      </c>
      <c r="K818" s="6">
        <f t="shared" si="84"/>
        <v>0</v>
      </c>
      <c r="L818" s="9">
        <f t="shared" si="85"/>
        <v>0</v>
      </c>
    </row>
    <row r="819" spans="1:12" ht="12.75">
      <c r="A819" s="14">
        <v>39281</v>
      </c>
      <c r="B819" s="13" t="s">
        <v>7</v>
      </c>
      <c r="D819" s="33"/>
      <c r="E819" s="17">
        <v>-97500</v>
      </c>
      <c r="F819" s="31"/>
      <c r="G819" s="31"/>
      <c r="H819" s="32"/>
      <c r="J819" s="4">
        <f t="shared" si="83"/>
        <v>-43446238.30949998</v>
      </c>
      <c r="K819" s="6">
        <f t="shared" si="84"/>
        <v>1</v>
      </c>
      <c r="L819" s="9">
        <f t="shared" si="85"/>
        <v>-23806.157977808212</v>
      </c>
    </row>
    <row r="820" spans="1:12" ht="12.75">
      <c r="A820" s="14">
        <v>39282</v>
      </c>
      <c r="B820" s="47" t="s">
        <v>185</v>
      </c>
      <c r="D820" s="48">
        <v>-100000</v>
      </c>
      <c r="E820" s="17"/>
      <c r="F820" s="31"/>
      <c r="G820" s="31"/>
      <c r="H820" s="32"/>
      <c r="J820" s="4">
        <f t="shared" si="83"/>
        <v>-43546238.30949998</v>
      </c>
      <c r="K820" s="6">
        <f t="shared" si="84"/>
        <v>1</v>
      </c>
      <c r="L820" s="9">
        <f t="shared" si="85"/>
        <v>-23860.952498356157</v>
      </c>
    </row>
    <row r="821" spans="1:12" ht="12.75">
      <c r="A821" s="14">
        <v>39283</v>
      </c>
      <c r="B821" s="47" t="s">
        <v>20</v>
      </c>
      <c r="D821" s="48">
        <v>-143100</v>
      </c>
      <c r="E821" s="17"/>
      <c r="F821" s="31"/>
      <c r="G821" s="31"/>
      <c r="H821" s="32"/>
      <c r="J821" s="4">
        <f t="shared" si="83"/>
        <v>-43689338.30949998</v>
      </c>
      <c r="K821" s="6">
        <f t="shared" si="84"/>
        <v>0</v>
      </c>
      <c r="L821" s="9">
        <f t="shared" si="85"/>
        <v>0</v>
      </c>
    </row>
    <row r="822" spans="1:12" ht="12.75">
      <c r="A822" s="14">
        <v>39283</v>
      </c>
      <c r="B822" s="47" t="s">
        <v>200</v>
      </c>
      <c r="D822" s="48">
        <v>-3676.85</v>
      </c>
      <c r="E822" s="17"/>
      <c r="F822" s="31"/>
      <c r="G822" s="31"/>
      <c r="H822" s="32"/>
      <c r="J822" s="4">
        <f t="shared" si="83"/>
        <v>-43693015.15949998</v>
      </c>
      <c r="K822" s="6">
        <f t="shared" si="84"/>
        <v>0</v>
      </c>
      <c r="L822" s="9">
        <f t="shared" si="85"/>
        <v>0</v>
      </c>
    </row>
    <row r="823" spans="1:12" ht="12.75">
      <c r="A823" s="14">
        <v>39283</v>
      </c>
      <c r="B823" s="47" t="s">
        <v>190</v>
      </c>
      <c r="D823" s="48">
        <v>-200000</v>
      </c>
      <c r="E823" s="17"/>
      <c r="F823" s="31"/>
      <c r="G823" s="31"/>
      <c r="H823" s="32"/>
      <c r="J823" s="4">
        <f t="shared" si="83"/>
        <v>-43893015.15949998</v>
      </c>
      <c r="K823" s="6">
        <f t="shared" si="84"/>
        <v>0</v>
      </c>
      <c r="L823" s="9">
        <f t="shared" si="85"/>
        <v>0</v>
      </c>
    </row>
    <row r="824" spans="1:12" ht="12.75">
      <c r="A824" s="14">
        <v>39283</v>
      </c>
      <c r="B824" s="47" t="s">
        <v>28</v>
      </c>
      <c r="D824" s="49">
        <f>-52500-114769.2</f>
        <v>-167269.2</v>
      </c>
      <c r="E824" s="17"/>
      <c r="F824" s="31"/>
      <c r="G824" s="31"/>
      <c r="H824" s="32"/>
      <c r="J824" s="4">
        <f t="shared" si="83"/>
        <v>-44060284.35949998</v>
      </c>
      <c r="K824" s="6">
        <f t="shared" si="84"/>
        <v>0</v>
      </c>
      <c r="L824" s="9">
        <f t="shared" si="85"/>
        <v>0</v>
      </c>
    </row>
    <row r="825" spans="1:12" ht="12.75">
      <c r="A825" s="14">
        <v>39283</v>
      </c>
      <c r="B825" s="30" t="s">
        <v>201</v>
      </c>
      <c r="C825" s="29">
        <f>(1292141.5+4174789.45)*0.8</f>
        <v>4373544.760000001</v>
      </c>
      <c r="D825" s="71"/>
      <c r="E825" s="32"/>
      <c r="F825" s="31"/>
      <c r="G825" s="31"/>
      <c r="H825" s="32"/>
      <c r="J825" s="4">
        <f t="shared" si="83"/>
        <v>-44060284.35949998</v>
      </c>
      <c r="K825" s="6">
        <f t="shared" si="84"/>
        <v>0</v>
      </c>
      <c r="L825" s="9">
        <f t="shared" si="85"/>
        <v>0</v>
      </c>
    </row>
    <row r="826" spans="1:12" ht="12.75">
      <c r="A826" s="14">
        <v>39283</v>
      </c>
      <c r="B826" s="13" t="s">
        <v>32</v>
      </c>
      <c r="C826" s="17">
        <f>-C825</f>
        <v>-4373544.760000001</v>
      </c>
      <c r="D826" s="46"/>
      <c r="E826" s="17"/>
      <c r="F826" s="31"/>
      <c r="G826" s="31"/>
      <c r="H826" s="32">
        <f>-C826</f>
        <v>4373544.760000001</v>
      </c>
      <c r="J826" s="4">
        <f t="shared" si="83"/>
        <v>-39686739.599499986</v>
      </c>
      <c r="K826" s="6">
        <f t="shared" si="84"/>
        <v>1</v>
      </c>
      <c r="L826" s="9">
        <f t="shared" si="85"/>
        <v>-21746.158684657526</v>
      </c>
    </row>
    <row r="827" spans="1:12" ht="12.75">
      <c r="A827" s="14">
        <v>39284</v>
      </c>
      <c r="B827" s="13" t="s">
        <v>7</v>
      </c>
      <c r="D827" s="33"/>
      <c r="E827" s="17">
        <v>-15100</v>
      </c>
      <c r="F827" s="31"/>
      <c r="G827" s="31"/>
      <c r="H827" s="32"/>
      <c r="J827" s="4">
        <f t="shared" si="83"/>
        <v>-39701839.599499986</v>
      </c>
      <c r="K827" s="6">
        <f t="shared" si="84"/>
        <v>2</v>
      </c>
      <c r="L827" s="9">
        <f t="shared" si="85"/>
        <v>-43508.86531452053</v>
      </c>
    </row>
    <row r="828" spans="1:12" ht="12.75">
      <c r="A828" s="14">
        <v>39286</v>
      </c>
      <c r="B828" s="13" t="s">
        <v>7</v>
      </c>
      <c r="D828" s="33"/>
      <c r="E828" s="17">
        <v>-48750</v>
      </c>
      <c r="F828" s="31"/>
      <c r="G828" s="31"/>
      <c r="H828" s="32"/>
      <c r="J828" s="4">
        <f t="shared" si="83"/>
        <v>-39750589.599499986</v>
      </c>
      <c r="K828" s="6">
        <f t="shared" si="84"/>
        <v>0</v>
      </c>
      <c r="L828" s="9">
        <f t="shared" si="85"/>
        <v>0</v>
      </c>
    </row>
    <row r="829" spans="1:12" ht="12.75">
      <c r="A829" s="14">
        <v>39286</v>
      </c>
      <c r="B829" s="13" t="s">
        <v>152</v>
      </c>
      <c r="D829" s="33"/>
      <c r="E829" s="17"/>
      <c r="F829" s="17">
        <v>-2477.8</v>
      </c>
      <c r="G829" s="31"/>
      <c r="H829" s="32"/>
      <c r="J829" s="4">
        <f t="shared" si="83"/>
        <v>-39753067.39949998</v>
      </c>
      <c r="K829" s="6">
        <f t="shared" si="84"/>
        <v>0</v>
      </c>
      <c r="L829" s="9">
        <f t="shared" si="85"/>
        <v>0</v>
      </c>
    </row>
    <row r="830" spans="1:12" ht="12.75">
      <c r="A830" s="14">
        <v>39286</v>
      </c>
      <c r="B830" s="13" t="s">
        <v>152</v>
      </c>
      <c r="D830" s="33"/>
      <c r="E830" s="17"/>
      <c r="F830" s="17">
        <v>-2405</v>
      </c>
      <c r="G830" s="31"/>
      <c r="H830" s="32"/>
      <c r="J830" s="4">
        <f t="shared" si="83"/>
        <v>-39755472.39949998</v>
      </c>
      <c r="K830" s="6">
        <f t="shared" si="84"/>
        <v>0</v>
      </c>
      <c r="L830" s="9">
        <f t="shared" si="85"/>
        <v>0</v>
      </c>
    </row>
    <row r="831" spans="1:12" ht="12.75">
      <c r="A831" s="14">
        <v>39286</v>
      </c>
      <c r="B831" s="13" t="s">
        <v>152</v>
      </c>
      <c r="D831" s="33"/>
      <c r="E831" s="17"/>
      <c r="F831" s="17">
        <v>-3567</v>
      </c>
      <c r="G831" s="31"/>
      <c r="H831" s="32"/>
      <c r="J831" s="4">
        <f t="shared" si="83"/>
        <v>-39759039.39949998</v>
      </c>
      <c r="K831" s="6">
        <f t="shared" si="84"/>
        <v>0</v>
      </c>
      <c r="L831" s="9">
        <f t="shared" si="85"/>
        <v>0</v>
      </c>
    </row>
    <row r="832" spans="1:12" ht="12.75">
      <c r="A832" s="14">
        <v>39286</v>
      </c>
      <c r="B832" s="13" t="s">
        <v>152</v>
      </c>
      <c r="D832" s="33"/>
      <c r="E832" s="17"/>
      <c r="F832" s="17">
        <v>-4601.2</v>
      </c>
      <c r="G832" s="31"/>
      <c r="H832" s="32"/>
      <c r="J832" s="4">
        <f t="shared" si="83"/>
        <v>-39763640.599499986</v>
      </c>
      <c r="K832" s="6">
        <f t="shared" si="84"/>
        <v>0</v>
      </c>
      <c r="L832" s="9">
        <f t="shared" si="85"/>
        <v>0</v>
      </c>
    </row>
    <row r="833" spans="1:12" ht="12.75">
      <c r="A833" s="14">
        <v>39286</v>
      </c>
      <c r="B833" s="13" t="s">
        <v>152</v>
      </c>
      <c r="D833" s="33"/>
      <c r="E833" s="17"/>
      <c r="F833" s="17">
        <v>-1308</v>
      </c>
      <c r="G833" s="31"/>
      <c r="H833" s="32"/>
      <c r="J833" s="4">
        <f t="shared" si="83"/>
        <v>-39764948.599499986</v>
      </c>
      <c r="K833" s="6">
        <f t="shared" si="84"/>
        <v>0</v>
      </c>
      <c r="L833" s="9">
        <f t="shared" si="85"/>
        <v>0</v>
      </c>
    </row>
    <row r="834" spans="1:12" ht="12.75">
      <c r="A834" s="14">
        <v>39286</v>
      </c>
      <c r="B834" s="13" t="s">
        <v>152</v>
      </c>
      <c r="D834" s="33"/>
      <c r="E834" s="17"/>
      <c r="F834" s="17">
        <v>-1741.25</v>
      </c>
      <c r="G834" s="31"/>
      <c r="H834" s="32"/>
      <c r="J834" s="4">
        <f t="shared" si="83"/>
        <v>-39766689.849499986</v>
      </c>
      <c r="K834" s="6">
        <f t="shared" si="84"/>
        <v>0</v>
      </c>
      <c r="L834" s="9">
        <f t="shared" si="85"/>
        <v>0</v>
      </c>
    </row>
    <row r="835" spans="1:12" ht="12.75">
      <c r="A835" s="14">
        <v>39286</v>
      </c>
      <c r="B835" s="13" t="s">
        <v>152</v>
      </c>
      <c r="D835" s="33"/>
      <c r="E835" s="17"/>
      <c r="F835" s="17">
        <v>-6510.18</v>
      </c>
      <c r="G835" s="31"/>
      <c r="H835" s="32"/>
      <c r="J835" s="4">
        <f t="shared" si="83"/>
        <v>-39773200.029499985</v>
      </c>
      <c r="K835" s="6">
        <f t="shared" si="84"/>
        <v>0</v>
      </c>
      <c r="L835" s="9">
        <f t="shared" si="85"/>
        <v>0</v>
      </c>
    </row>
    <row r="836" spans="1:12" ht="12.75">
      <c r="A836" s="14">
        <v>39286</v>
      </c>
      <c r="B836" s="13" t="s">
        <v>152</v>
      </c>
      <c r="D836" s="33"/>
      <c r="E836" s="17"/>
      <c r="F836" s="17">
        <v>-1576.4</v>
      </c>
      <c r="G836" s="31"/>
      <c r="H836" s="32"/>
      <c r="J836" s="4">
        <f t="shared" si="83"/>
        <v>-39774776.429499984</v>
      </c>
      <c r="K836" s="6">
        <f t="shared" si="84"/>
        <v>0</v>
      </c>
      <c r="L836" s="9">
        <f t="shared" si="85"/>
        <v>0</v>
      </c>
    </row>
    <row r="837" spans="1:12" ht="12.75">
      <c r="A837" s="14">
        <v>39286</v>
      </c>
      <c r="B837" s="13" t="s">
        <v>152</v>
      </c>
      <c r="D837" s="33"/>
      <c r="E837" s="17"/>
      <c r="F837" s="17">
        <v>-1113</v>
      </c>
      <c r="G837" s="31"/>
      <c r="H837" s="32"/>
      <c r="J837" s="4">
        <f t="shared" si="83"/>
        <v>-39775889.429499984</v>
      </c>
      <c r="K837" s="6">
        <f t="shared" si="84"/>
        <v>0</v>
      </c>
      <c r="L837" s="9">
        <f t="shared" si="85"/>
        <v>0</v>
      </c>
    </row>
    <row r="838" spans="1:12" ht="12.75">
      <c r="A838" s="14">
        <v>39286</v>
      </c>
      <c r="B838" s="13" t="s">
        <v>152</v>
      </c>
      <c r="D838" s="33"/>
      <c r="E838" s="17"/>
      <c r="F838" s="17">
        <v>-4402.8</v>
      </c>
      <c r="G838" s="31"/>
      <c r="H838" s="32"/>
      <c r="J838" s="4">
        <f t="shared" si="83"/>
        <v>-39780292.22949998</v>
      </c>
      <c r="K838" s="6">
        <f t="shared" si="84"/>
        <v>0</v>
      </c>
      <c r="L838" s="9">
        <f t="shared" si="85"/>
        <v>0</v>
      </c>
    </row>
    <row r="839" spans="1:12" ht="12.75">
      <c r="A839" s="14">
        <v>39286</v>
      </c>
      <c r="B839" s="13" t="s">
        <v>152</v>
      </c>
      <c r="D839" s="33"/>
      <c r="E839" s="17"/>
      <c r="F839" s="17">
        <v>-5060.9</v>
      </c>
      <c r="G839" s="31"/>
      <c r="H839" s="32"/>
      <c r="J839" s="4">
        <f t="shared" si="83"/>
        <v>-39785353.12949998</v>
      </c>
      <c r="K839" s="6">
        <f t="shared" si="84"/>
        <v>0</v>
      </c>
      <c r="L839" s="9">
        <f t="shared" si="85"/>
        <v>0</v>
      </c>
    </row>
    <row r="840" spans="1:12" ht="12.75">
      <c r="A840" s="14">
        <v>39286</v>
      </c>
      <c r="B840" s="13" t="s">
        <v>152</v>
      </c>
      <c r="D840" s="33"/>
      <c r="E840" s="17"/>
      <c r="F840" s="17">
        <v>-21050</v>
      </c>
      <c r="G840" s="31"/>
      <c r="H840" s="32"/>
      <c r="J840" s="4">
        <f t="shared" si="83"/>
        <v>-39806403.12949998</v>
      </c>
      <c r="K840" s="6">
        <f t="shared" si="84"/>
        <v>0</v>
      </c>
      <c r="L840" s="9">
        <f t="shared" si="85"/>
        <v>0</v>
      </c>
    </row>
    <row r="841" spans="1:12" ht="12.75">
      <c r="A841" s="14">
        <v>39286</v>
      </c>
      <c r="B841" s="13" t="s">
        <v>152</v>
      </c>
      <c r="D841" s="33"/>
      <c r="E841" s="17"/>
      <c r="F841" s="17">
        <v>-81000</v>
      </c>
      <c r="G841" s="31"/>
      <c r="H841" s="32"/>
      <c r="J841" s="4">
        <f t="shared" si="83"/>
        <v>-39887403.12949998</v>
      </c>
      <c r="K841" s="6">
        <f t="shared" si="84"/>
        <v>0</v>
      </c>
      <c r="L841" s="9">
        <f t="shared" si="85"/>
        <v>0</v>
      </c>
    </row>
    <row r="842" spans="1:12" ht="12.75">
      <c r="A842" s="14">
        <v>39286</v>
      </c>
      <c r="B842" s="13" t="s">
        <v>152</v>
      </c>
      <c r="D842" s="33"/>
      <c r="E842" s="17"/>
      <c r="F842" s="17">
        <v>-8750</v>
      </c>
      <c r="G842" s="31"/>
      <c r="H842" s="32"/>
      <c r="J842" s="4">
        <f t="shared" si="83"/>
        <v>-39896153.12949998</v>
      </c>
      <c r="K842" s="6">
        <f t="shared" si="84"/>
        <v>0</v>
      </c>
      <c r="L842" s="9">
        <f t="shared" si="85"/>
        <v>0</v>
      </c>
    </row>
    <row r="843" spans="1:12" ht="12.75">
      <c r="A843" s="14">
        <v>39286</v>
      </c>
      <c r="B843" s="13" t="s">
        <v>152</v>
      </c>
      <c r="D843" s="33"/>
      <c r="E843" s="17"/>
      <c r="F843" s="17">
        <v>-316687.33</v>
      </c>
      <c r="G843" s="31"/>
      <c r="H843" s="32"/>
      <c r="J843" s="4">
        <f t="shared" si="83"/>
        <v>-40212840.45949998</v>
      </c>
      <c r="K843" s="6">
        <f t="shared" si="84"/>
        <v>0</v>
      </c>
      <c r="L843" s="9">
        <f t="shared" si="85"/>
        <v>0</v>
      </c>
    </row>
    <row r="844" spans="1:12" ht="12.75">
      <c r="A844" s="14">
        <v>39286</v>
      </c>
      <c r="B844" s="13" t="s">
        <v>152</v>
      </c>
      <c r="D844" s="33"/>
      <c r="E844" s="17"/>
      <c r="F844" s="17">
        <v>-15487.5</v>
      </c>
      <c r="G844" s="31"/>
      <c r="H844" s="32"/>
      <c r="J844" s="4">
        <f t="shared" si="83"/>
        <v>-40228327.95949998</v>
      </c>
      <c r="K844" s="6">
        <f t="shared" si="84"/>
        <v>0</v>
      </c>
      <c r="L844" s="9">
        <f t="shared" si="85"/>
        <v>0</v>
      </c>
    </row>
    <row r="845" spans="1:12" ht="12.75">
      <c r="A845" s="14">
        <v>39286</v>
      </c>
      <c r="B845" s="13" t="s">
        <v>152</v>
      </c>
      <c r="D845" s="33"/>
      <c r="E845" s="17"/>
      <c r="F845" s="17">
        <v>-4760</v>
      </c>
      <c r="G845" s="31"/>
      <c r="H845" s="32"/>
      <c r="J845" s="4">
        <f t="shared" si="83"/>
        <v>-40233087.95949998</v>
      </c>
      <c r="K845" s="6">
        <f t="shared" si="84"/>
        <v>0</v>
      </c>
      <c r="L845" s="9">
        <f t="shared" si="85"/>
        <v>0</v>
      </c>
    </row>
    <row r="846" spans="1:12" ht="12.75">
      <c r="A846" s="14">
        <v>39286</v>
      </c>
      <c r="B846" s="13" t="s">
        <v>152</v>
      </c>
      <c r="D846" s="33"/>
      <c r="E846" s="17"/>
      <c r="F846" s="17">
        <v>-4866.72</v>
      </c>
      <c r="G846" s="31"/>
      <c r="H846" s="32"/>
      <c r="J846" s="4">
        <f t="shared" si="83"/>
        <v>-40237954.67949998</v>
      </c>
      <c r="K846" s="6">
        <f t="shared" si="84"/>
        <v>0</v>
      </c>
      <c r="L846" s="9">
        <f t="shared" si="85"/>
        <v>0</v>
      </c>
    </row>
    <row r="847" spans="1:12" ht="12.75">
      <c r="A847" s="14">
        <v>39286</v>
      </c>
      <c r="B847" s="13" t="s">
        <v>152</v>
      </c>
      <c r="D847" s="33"/>
      <c r="E847" s="17"/>
      <c r="F847" s="17">
        <v>-7412.79</v>
      </c>
      <c r="G847" s="31"/>
      <c r="H847" s="32"/>
      <c r="J847" s="4">
        <f t="shared" si="83"/>
        <v>-40245367.469499975</v>
      </c>
      <c r="K847" s="6">
        <f t="shared" si="84"/>
        <v>0</v>
      </c>
      <c r="L847" s="9">
        <f t="shared" si="85"/>
        <v>0</v>
      </c>
    </row>
    <row r="848" spans="1:12" ht="12.75">
      <c r="A848" s="14">
        <v>39286</v>
      </c>
      <c r="B848" s="13" t="s">
        <v>152</v>
      </c>
      <c r="D848" s="33"/>
      <c r="E848" s="17"/>
      <c r="F848" s="17">
        <v>-6532.8</v>
      </c>
      <c r="G848" s="31"/>
      <c r="H848" s="32"/>
      <c r="J848" s="4">
        <f t="shared" si="83"/>
        <v>-40251900.26949997</v>
      </c>
      <c r="K848" s="6">
        <f t="shared" si="84"/>
        <v>0</v>
      </c>
      <c r="L848" s="9">
        <f t="shared" si="85"/>
        <v>0</v>
      </c>
    </row>
    <row r="849" spans="1:12" ht="12.75">
      <c r="A849" s="14">
        <v>39286</v>
      </c>
      <c r="B849" s="13" t="s">
        <v>152</v>
      </c>
      <c r="D849" s="33"/>
      <c r="E849" s="17"/>
      <c r="F849" s="17">
        <v>-1329.87</v>
      </c>
      <c r="G849" s="31"/>
      <c r="H849" s="32"/>
      <c r="J849" s="4">
        <f t="shared" si="83"/>
        <v>-40253230.13949997</v>
      </c>
      <c r="K849" s="6">
        <f t="shared" si="84"/>
        <v>0</v>
      </c>
      <c r="L849" s="9">
        <f t="shared" si="85"/>
        <v>0</v>
      </c>
    </row>
    <row r="850" spans="1:12" ht="12.75">
      <c r="A850" s="14">
        <v>39286</v>
      </c>
      <c r="B850" s="13" t="s">
        <v>152</v>
      </c>
      <c r="D850" s="33"/>
      <c r="E850" s="17"/>
      <c r="F850" s="17">
        <v>-2001</v>
      </c>
      <c r="G850" s="31"/>
      <c r="H850" s="32"/>
      <c r="J850" s="4">
        <f t="shared" si="83"/>
        <v>-40255231.13949997</v>
      </c>
      <c r="K850" s="6">
        <f t="shared" si="84"/>
        <v>0</v>
      </c>
      <c r="L850" s="9">
        <f t="shared" si="85"/>
        <v>0</v>
      </c>
    </row>
    <row r="851" spans="1:12" ht="12.75">
      <c r="A851" s="14">
        <v>39286</v>
      </c>
      <c r="B851" s="13" t="s">
        <v>152</v>
      </c>
      <c r="D851" s="33"/>
      <c r="E851" s="17"/>
      <c r="F851" s="17">
        <v>-550</v>
      </c>
      <c r="G851" s="31"/>
      <c r="H851" s="32"/>
      <c r="J851" s="4">
        <f t="shared" si="83"/>
        <v>-40255781.13949997</v>
      </c>
      <c r="K851" s="6">
        <f t="shared" si="84"/>
        <v>0</v>
      </c>
      <c r="L851" s="9">
        <f t="shared" si="85"/>
        <v>0</v>
      </c>
    </row>
    <row r="852" spans="1:12" ht="12.75">
      <c r="A852" s="14">
        <v>39286</v>
      </c>
      <c r="B852" s="13" t="s">
        <v>152</v>
      </c>
      <c r="D852" s="33"/>
      <c r="E852" s="17"/>
      <c r="F852" s="17">
        <v>-1960</v>
      </c>
      <c r="G852" s="31"/>
      <c r="H852" s="32"/>
      <c r="J852" s="4">
        <f t="shared" si="83"/>
        <v>-40257741.13949997</v>
      </c>
      <c r="K852" s="6">
        <f t="shared" si="84"/>
        <v>0</v>
      </c>
      <c r="L852" s="9">
        <f t="shared" si="85"/>
        <v>0</v>
      </c>
    </row>
    <row r="853" spans="1:12" ht="12.75">
      <c r="A853" s="14">
        <v>39286</v>
      </c>
      <c r="B853" s="13" t="s">
        <v>152</v>
      </c>
      <c r="D853" s="33"/>
      <c r="E853" s="17"/>
      <c r="F853" s="17">
        <v>-2321.95</v>
      </c>
      <c r="G853" s="31"/>
      <c r="H853" s="32"/>
      <c r="J853" s="4">
        <f t="shared" si="83"/>
        <v>-40260063.08949997</v>
      </c>
      <c r="K853" s="6">
        <f t="shared" si="84"/>
        <v>0</v>
      </c>
      <c r="L853" s="9">
        <f t="shared" si="85"/>
        <v>0</v>
      </c>
    </row>
    <row r="854" spans="1:12" ht="12.75">
      <c r="A854" s="14">
        <v>39286</v>
      </c>
      <c r="B854" s="13" t="s">
        <v>152</v>
      </c>
      <c r="D854" s="33"/>
      <c r="E854" s="17"/>
      <c r="F854" s="17">
        <v>-61493.71</v>
      </c>
      <c r="G854" s="31"/>
      <c r="H854" s="32"/>
      <c r="J854" s="4">
        <f t="shared" si="83"/>
        <v>-40321556.79949997</v>
      </c>
      <c r="K854" s="6">
        <f t="shared" si="84"/>
        <v>0</v>
      </c>
      <c r="L854" s="9">
        <f t="shared" si="85"/>
        <v>0</v>
      </c>
    </row>
    <row r="855" spans="1:12" ht="12.75">
      <c r="A855" s="14">
        <v>39286</v>
      </c>
      <c r="B855" s="13" t="s">
        <v>152</v>
      </c>
      <c r="D855" s="33"/>
      <c r="E855" s="17"/>
      <c r="F855" s="17">
        <v>-1200</v>
      </c>
      <c r="G855" s="31"/>
      <c r="H855" s="32"/>
      <c r="J855" s="4">
        <f t="shared" si="83"/>
        <v>-40322756.79949997</v>
      </c>
      <c r="K855" s="6">
        <f t="shared" si="84"/>
        <v>0</v>
      </c>
      <c r="L855" s="9">
        <f t="shared" si="85"/>
        <v>0</v>
      </c>
    </row>
    <row r="856" spans="1:12" ht="12.75">
      <c r="A856" s="14">
        <v>39286</v>
      </c>
      <c r="B856" s="13" t="s">
        <v>152</v>
      </c>
      <c r="D856" s="33"/>
      <c r="E856" s="17"/>
      <c r="F856" s="17">
        <v>-4202.05</v>
      </c>
      <c r="G856" s="31"/>
      <c r="H856" s="32"/>
      <c r="J856" s="4">
        <f t="shared" si="83"/>
        <v>-40326958.84949997</v>
      </c>
      <c r="K856" s="6">
        <f t="shared" si="84"/>
        <v>0</v>
      </c>
      <c r="L856" s="9">
        <f t="shared" si="85"/>
        <v>0</v>
      </c>
    </row>
    <row r="857" spans="1:12" ht="12.75">
      <c r="A857" s="14">
        <v>39286</v>
      </c>
      <c r="B857" s="13" t="s">
        <v>152</v>
      </c>
      <c r="D857" s="33"/>
      <c r="E857" s="17"/>
      <c r="F857" s="17">
        <v>-1544.8</v>
      </c>
      <c r="G857" s="31"/>
      <c r="H857" s="32"/>
      <c r="J857" s="4">
        <f t="shared" si="83"/>
        <v>-40328503.64949997</v>
      </c>
      <c r="K857" s="6">
        <f t="shared" si="84"/>
        <v>0</v>
      </c>
      <c r="L857" s="9">
        <f t="shared" si="85"/>
        <v>0</v>
      </c>
    </row>
    <row r="858" spans="1:12" ht="12.75">
      <c r="A858" s="14">
        <v>39286</v>
      </c>
      <c r="B858" s="13" t="s">
        <v>152</v>
      </c>
      <c r="D858" s="33"/>
      <c r="E858" s="17"/>
      <c r="F858" s="17">
        <v>-2772.5</v>
      </c>
      <c r="G858" s="31"/>
      <c r="H858" s="32"/>
      <c r="J858" s="4">
        <f t="shared" si="83"/>
        <v>-40331276.14949997</v>
      </c>
      <c r="K858" s="6">
        <f t="shared" si="84"/>
        <v>0</v>
      </c>
      <c r="L858" s="9">
        <f t="shared" si="85"/>
        <v>0</v>
      </c>
    </row>
    <row r="859" spans="1:12" ht="12.75">
      <c r="A859" s="14">
        <v>39286</v>
      </c>
      <c r="B859" s="13" t="s">
        <v>152</v>
      </c>
      <c r="D859" s="33"/>
      <c r="E859" s="17"/>
      <c r="F859" s="17">
        <v>-4926.26</v>
      </c>
      <c r="G859" s="31"/>
      <c r="H859" s="32"/>
      <c r="J859" s="4">
        <f t="shared" si="83"/>
        <v>-40336202.409499966</v>
      </c>
      <c r="K859" s="6">
        <f t="shared" si="84"/>
        <v>0</v>
      </c>
      <c r="L859" s="9">
        <f t="shared" si="85"/>
        <v>0</v>
      </c>
    </row>
    <row r="860" spans="1:12" ht="12.75">
      <c r="A860" s="14">
        <v>39286</v>
      </c>
      <c r="B860" s="47" t="s">
        <v>195</v>
      </c>
      <c r="D860" s="48">
        <v>-501000</v>
      </c>
      <c r="E860" s="17"/>
      <c r="F860" s="17"/>
      <c r="G860" s="31"/>
      <c r="H860" s="32"/>
      <c r="J860" s="4">
        <f t="shared" si="83"/>
        <v>-40837202.409499966</v>
      </c>
      <c r="K860" s="6">
        <f t="shared" si="84"/>
        <v>0</v>
      </c>
      <c r="L860" s="9">
        <f t="shared" si="85"/>
        <v>0</v>
      </c>
    </row>
    <row r="861" spans="1:12" ht="12.75">
      <c r="A861" s="14">
        <v>39286</v>
      </c>
      <c r="B861" s="47" t="s">
        <v>196</v>
      </c>
      <c r="D861" s="48">
        <v>-135000</v>
      </c>
      <c r="E861" s="17"/>
      <c r="F861" s="17"/>
      <c r="G861" s="31"/>
      <c r="H861" s="32"/>
      <c r="J861" s="4">
        <f t="shared" si="83"/>
        <v>-40972202.409499966</v>
      </c>
      <c r="K861" s="6">
        <f t="shared" si="84"/>
        <v>0</v>
      </c>
      <c r="L861" s="9">
        <f t="shared" si="85"/>
        <v>0</v>
      </c>
    </row>
    <row r="862" spans="1:12" ht="12.75">
      <c r="A862" s="14">
        <v>39286</v>
      </c>
      <c r="B862" s="47" t="s">
        <v>192</v>
      </c>
      <c r="D862" s="48">
        <v>-243800</v>
      </c>
      <c r="E862" s="17"/>
      <c r="F862" s="17"/>
      <c r="G862" s="31"/>
      <c r="H862" s="32"/>
      <c r="J862" s="4">
        <f t="shared" si="83"/>
        <v>-41216002.409499966</v>
      </c>
      <c r="K862" s="6">
        <f t="shared" si="84"/>
        <v>1</v>
      </c>
      <c r="L862" s="9">
        <f t="shared" si="85"/>
        <v>-22584.11090931505</v>
      </c>
    </row>
    <row r="863" spans="1:12" ht="12.75">
      <c r="A863" s="14">
        <v>39287</v>
      </c>
      <c r="B863" s="47" t="s">
        <v>192</v>
      </c>
      <c r="D863" s="48">
        <v>-339200</v>
      </c>
      <c r="E863" s="17"/>
      <c r="F863" s="17"/>
      <c r="G863" s="31"/>
      <c r="H863" s="32"/>
      <c r="J863" s="4">
        <f t="shared" si="83"/>
        <v>-41555202.409499966</v>
      </c>
      <c r="K863" s="6">
        <f t="shared" si="84"/>
        <v>0</v>
      </c>
      <c r="L863" s="9">
        <f t="shared" si="85"/>
        <v>0</v>
      </c>
    </row>
    <row r="864" spans="1:12" ht="12.75">
      <c r="A864" s="14">
        <v>39287</v>
      </c>
      <c r="B864" s="47" t="s">
        <v>197</v>
      </c>
      <c r="D864" s="48">
        <v>-29000</v>
      </c>
      <c r="E864" s="17"/>
      <c r="F864" s="17"/>
      <c r="G864" s="31"/>
      <c r="H864" s="32"/>
      <c r="J864" s="4">
        <f t="shared" si="83"/>
        <v>-41584202.409499966</v>
      </c>
      <c r="K864" s="6">
        <f t="shared" si="84"/>
        <v>0</v>
      </c>
      <c r="L864" s="9">
        <f t="shared" si="85"/>
        <v>0</v>
      </c>
    </row>
    <row r="865" spans="1:12" ht="12.75">
      <c r="A865" s="14">
        <v>39287</v>
      </c>
      <c r="B865" s="47" t="s">
        <v>193</v>
      </c>
      <c r="D865" s="48">
        <v>-105000</v>
      </c>
      <c r="E865" s="17"/>
      <c r="F865" s="17"/>
      <c r="G865" s="31"/>
      <c r="H865" s="32"/>
      <c r="J865" s="4">
        <f t="shared" si="83"/>
        <v>-41689202.409499966</v>
      </c>
      <c r="K865" s="6">
        <f t="shared" si="84"/>
        <v>0</v>
      </c>
      <c r="L865" s="9">
        <f t="shared" si="85"/>
        <v>0</v>
      </c>
    </row>
    <row r="866" spans="1:12" ht="12.75">
      <c r="A866" s="14">
        <v>39287</v>
      </c>
      <c r="B866" s="47" t="s">
        <v>198</v>
      </c>
      <c r="D866" s="48">
        <v>-16424.46</v>
      </c>
      <c r="E866" s="17"/>
      <c r="F866" s="17"/>
      <c r="G866" s="31"/>
      <c r="H866" s="32"/>
      <c r="J866" s="4">
        <f t="shared" si="83"/>
        <v>-41705626.86949997</v>
      </c>
      <c r="K866" s="6">
        <f t="shared" si="84"/>
        <v>1</v>
      </c>
      <c r="L866" s="9">
        <f t="shared" si="85"/>
        <v>-22852.398284657516</v>
      </c>
    </row>
    <row r="867" spans="1:12" ht="12.75">
      <c r="A867" s="14">
        <v>39288</v>
      </c>
      <c r="B867" s="47" t="s">
        <v>199</v>
      </c>
      <c r="D867" s="48">
        <v>-3267.26</v>
      </c>
      <c r="E867" s="17"/>
      <c r="F867" s="17"/>
      <c r="G867" s="31"/>
      <c r="H867" s="32"/>
      <c r="J867" s="4">
        <f t="shared" si="83"/>
        <v>-41708894.129499964</v>
      </c>
      <c r="K867" s="6">
        <f t="shared" si="84"/>
        <v>0</v>
      </c>
      <c r="L867" s="9">
        <f t="shared" si="85"/>
        <v>0</v>
      </c>
    </row>
    <row r="868" spans="1:12" ht="12.75">
      <c r="A868" s="14">
        <v>39288</v>
      </c>
      <c r="B868" s="47" t="s">
        <v>193</v>
      </c>
      <c r="D868" s="48">
        <v>-105000</v>
      </c>
      <c r="E868" s="17"/>
      <c r="F868" s="17"/>
      <c r="G868" s="31"/>
      <c r="H868" s="32"/>
      <c r="J868" s="4">
        <f t="shared" si="83"/>
        <v>-41813894.129499964</v>
      </c>
      <c r="K868" s="6">
        <f t="shared" si="84"/>
        <v>0</v>
      </c>
      <c r="L868" s="9">
        <f t="shared" si="85"/>
        <v>0</v>
      </c>
    </row>
    <row r="869" spans="1:12" ht="12.75">
      <c r="A869" s="14">
        <v>39288</v>
      </c>
      <c r="B869" s="13" t="s">
        <v>187</v>
      </c>
      <c r="D869" s="33"/>
      <c r="E869" s="17"/>
      <c r="F869" s="31"/>
      <c r="G869" s="17">
        <v>-268339.17</v>
      </c>
      <c r="H869" s="32"/>
      <c r="J869" s="4">
        <f t="shared" si="83"/>
        <v>-42082233.299499966</v>
      </c>
      <c r="K869" s="6">
        <f t="shared" si="84"/>
        <v>0</v>
      </c>
      <c r="L869" s="9">
        <f t="shared" si="85"/>
        <v>0</v>
      </c>
    </row>
    <row r="870" spans="1:12" ht="12.75">
      <c r="A870" s="14">
        <v>39288</v>
      </c>
      <c r="B870" s="30" t="s">
        <v>202</v>
      </c>
      <c r="C870" s="29">
        <f>631678.05*0.8</f>
        <v>505342.44000000006</v>
      </c>
      <c r="D870" s="71"/>
      <c r="E870" s="32"/>
      <c r="F870" s="31"/>
      <c r="G870" s="31"/>
      <c r="H870" s="32"/>
      <c r="J870" s="4">
        <f t="shared" si="83"/>
        <v>-42082233.299499966</v>
      </c>
      <c r="K870" s="6">
        <f t="shared" si="84"/>
        <v>0</v>
      </c>
      <c r="L870" s="9">
        <f t="shared" si="85"/>
        <v>0</v>
      </c>
    </row>
    <row r="871" spans="1:12" ht="12.75">
      <c r="A871" s="14">
        <v>39288</v>
      </c>
      <c r="B871" s="13" t="s">
        <v>32</v>
      </c>
      <c r="C871" s="17">
        <f>-C870</f>
        <v>-505342.44000000006</v>
      </c>
      <c r="D871" s="46"/>
      <c r="E871" s="17"/>
      <c r="F871" s="31"/>
      <c r="G871" s="31"/>
      <c r="H871" s="32">
        <f>-C871</f>
        <v>505342.44000000006</v>
      </c>
      <c r="J871" s="4">
        <f t="shared" si="83"/>
        <v>-41576890.85949997</v>
      </c>
      <c r="K871" s="6">
        <f t="shared" si="84"/>
        <v>0</v>
      </c>
      <c r="L871" s="9">
        <f t="shared" si="85"/>
        <v>0</v>
      </c>
    </row>
    <row r="872" spans="1:12" ht="12.75">
      <c r="A872" s="14">
        <v>39288</v>
      </c>
      <c r="B872" s="30" t="s">
        <v>203</v>
      </c>
      <c r="C872" s="29">
        <f>36192.8*0.8</f>
        <v>28954.240000000005</v>
      </c>
      <c r="D872" s="71"/>
      <c r="E872" s="32"/>
      <c r="F872" s="31"/>
      <c r="G872" s="31"/>
      <c r="H872" s="32"/>
      <c r="J872" s="4">
        <f aca="true" t="shared" si="86" ref="J872:J906">J871+D872+E872+F872+G872+H872+I872</f>
        <v>-41576890.85949997</v>
      </c>
      <c r="K872" s="6">
        <f aca="true" t="shared" si="87" ref="K872:K906">DATEDIF(A872,A873,"d")</f>
        <v>0</v>
      </c>
      <c r="L872" s="9">
        <f aca="true" t="shared" si="88" ref="L872:L906">J872*K872*0.2/365</f>
        <v>0</v>
      </c>
    </row>
    <row r="873" spans="1:12" ht="12.75">
      <c r="A873" s="14">
        <v>39288</v>
      </c>
      <c r="B873" s="13" t="s">
        <v>32</v>
      </c>
      <c r="C873" s="17">
        <f>-C872</f>
        <v>-28954.240000000005</v>
      </c>
      <c r="D873" s="46"/>
      <c r="E873" s="17"/>
      <c r="F873" s="31"/>
      <c r="G873" s="31"/>
      <c r="H873" s="32">
        <f>-C873</f>
        <v>28954.240000000005</v>
      </c>
      <c r="J873" s="4">
        <f t="shared" si="86"/>
        <v>-41547936.61949997</v>
      </c>
      <c r="K873" s="6">
        <f t="shared" si="87"/>
        <v>0</v>
      </c>
      <c r="L873" s="9">
        <f t="shared" si="88"/>
        <v>0</v>
      </c>
    </row>
    <row r="874" spans="1:12" ht="12.75">
      <c r="A874" s="14">
        <v>39288</v>
      </c>
      <c r="B874" s="30" t="s">
        <v>204</v>
      </c>
      <c r="C874" s="29">
        <f>282379.6*0.8</f>
        <v>225903.68</v>
      </c>
      <c r="D874" s="71"/>
      <c r="E874" s="32"/>
      <c r="F874" s="31"/>
      <c r="G874" s="31"/>
      <c r="H874" s="32"/>
      <c r="J874" s="4">
        <f t="shared" si="86"/>
        <v>-41547936.61949997</v>
      </c>
      <c r="K874" s="6">
        <f t="shared" si="87"/>
        <v>0</v>
      </c>
      <c r="L874" s="9">
        <f t="shared" si="88"/>
        <v>0</v>
      </c>
    </row>
    <row r="875" spans="1:12" ht="12.75">
      <c r="A875" s="14">
        <v>39288</v>
      </c>
      <c r="B875" s="13" t="s">
        <v>32</v>
      </c>
      <c r="C875" s="17">
        <f>-C874</f>
        <v>-225903.68</v>
      </c>
      <c r="D875" s="46"/>
      <c r="E875" s="17"/>
      <c r="F875" s="31"/>
      <c r="G875" s="31"/>
      <c r="H875" s="32">
        <f>-C875</f>
        <v>225903.68</v>
      </c>
      <c r="J875" s="4">
        <f t="shared" si="86"/>
        <v>-41322032.93949997</v>
      </c>
      <c r="K875" s="6">
        <f t="shared" si="87"/>
        <v>1</v>
      </c>
      <c r="L875" s="9">
        <f t="shared" si="88"/>
        <v>-22642.209829862997</v>
      </c>
    </row>
    <row r="876" spans="1:12" ht="12.75">
      <c r="A876" s="14">
        <v>39289</v>
      </c>
      <c r="B876" s="30" t="s">
        <v>205</v>
      </c>
      <c r="C876" s="29">
        <f>314514.25*0.8</f>
        <v>251611.40000000002</v>
      </c>
      <c r="D876" s="71"/>
      <c r="E876" s="32"/>
      <c r="F876" s="31"/>
      <c r="G876" s="31"/>
      <c r="H876" s="32"/>
      <c r="J876" s="4">
        <f t="shared" si="86"/>
        <v>-41322032.93949997</v>
      </c>
      <c r="K876" s="6">
        <f t="shared" si="87"/>
        <v>0</v>
      </c>
      <c r="L876" s="9">
        <f t="shared" si="88"/>
        <v>0</v>
      </c>
    </row>
    <row r="877" spans="1:12" ht="12.75">
      <c r="A877" s="14">
        <v>39289</v>
      </c>
      <c r="B877" s="13" t="s">
        <v>32</v>
      </c>
      <c r="C877" s="17">
        <f>-C876</f>
        <v>-251611.40000000002</v>
      </c>
      <c r="D877" s="46"/>
      <c r="E877" s="17"/>
      <c r="F877" s="31"/>
      <c r="G877" s="31"/>
      <c r="H877" s="32">
        <f>-C877</f>
        <v>251611.40000000002</v>
      </c>
      <c r="J877" s="4">
        <f t="shared" si="86"/>
        <v>-41070421.53949997</v>
      </c>
      <c r="K877" s="6">
        <f t="shared" si="87"/>
        <v>0</v>
      </c>
      <c r="L877" s="9">
        <f t="shared" si="88"/>
        <v>0</v>
      </c>
    </row>
    <row r="878" spans="1:12" ht="12.75">
      <c r="A878" s="14">
        <v>39289</v>
      </c>
      <c r="B878" s="30" t="s">
        <v>206</v>
      </c>
      <c r="C878" s="29">
        <f>384723.6*0.8</f>
        <v>307778.88</v>
      </c>
      <c r="D878" s="71"/>
      <c r="E878" s="32"/>
      <c r="F878" s="31"/>
      <c r="G878" s="31"/>
      <c r="H878" s="32"/>
      <c r="J878" s="4">
        <f t="shared" si="86"/>
        <v>-41070421.53949997</v>
      </c>
      <c r="K878" s="6">
        <f t="shared" si="87"/>
        <v>0</v>
      </c>
      <c r="L878" s="9">
        <f t="shared" si="88"/>
        <v>0</v>
      </c>
    </row>
    <row r="879" spans="1:12" ht="12.75">
      <c r="A879" s="14">
        <v>39289</v>
      </c>
      <c r="B879" s="13" t="s">
        <v>32</v>
      </c>
      <c r="C879" s="17">
        <f>-C878</f>
        <v>-307778.88</v>
      </c>
      <c r="D879" s="46"/>
      <c r="E879" s="17"/>
      <c r="F879" s="31"/>
      <c r="G879" s="31"/>
      <c r="H879" s="32">
        <f>-C879</f>
        <v>307778.88</v>
      </c>
      <c r="J879" s="4">
        <f t="shared" si="86"/>
        <v>-40762642.659499966</v>
      </c>
      <c r="K879" s="6">
        <f t="shared" si="87"/>
        <v>0</v>
      </c>
      <c r="L879" s="9">
        <f t="shared" si="88"/>
        <v>0</v>
      </c>
    </row>
    <row r="880" spans="1:12" ht="12.75">
      <c r="A880" s="14">
        <v>39289</v>
      </c>
      <c r="B880" s="47" t="s">
        <v>28</v>
      </c>
      <c r="D880" s="48">
        <v>-52500</v>
      </c>
      <c r="E880" s="17"/>
      <c r="F880" s="17"/>
      <c r="G880" s="31"/>
      <c r="H880" s="32"/>
      <c r="J880" s="4">
        <f t="shared" si="86"/>
        <v>-40815142.659499966</v>
      </c>
      <c r="K880" s="6">
        <f t="shared" si="87"/>
        <v>0</v>
      </c>
      <c r="L880" s="9">
        <f t="shared" si="88"/>
        <v>0</v>
      </c>
    </row>
    <row r="881" spans="1:12" ht="12.75">
      <c r="A881" s="14">
        <v>39289</v>
      </c>
      <c r="B881" s="47" t="s">
        <v>20</v>
      </c>
      <c r="D881" s="48">
        <v>-169600</v>
      </c>
      <c r="E881" s="17"/>
      <c r="F881" s="17"/>
      <c r="G881" s="31"/>
      <c r="H881" s="32"/>
      <c r="J881" s="4">
        <f aca="true" t="shared" si="89" ref="J881:J896">J880+D881+E881+F881+G881+H881+I881</f>
        <v>-40984742.659499966</v>
      </c>
      <c r="K881" s="6">
        <f aca="true" t="shared" si="90" ref="K881:K896">DATEDIF(A881,A882,"d")</f>
        <v>0</v>
      </c>
      <c r="L881" s="9">
        <f aca="true" t="shared" si="91" ref="L881:L896">J881*K881*0.2/365</f>
        <v>0</v>
      </c>
    </row>
    <row r="882" spans="1:12" ht="12.75">
      <c r="A882" s="14">
        <v>39289</v>
      </c>
      <c r="B882" s="47" t="s">
        <v>20</v>
      </c>
      <c r="D882" s="48">
        <v>-102805.8</v>
      </c>
      <c r="E882" s="17"/>
      <c r="F882" s="17"/>
      <c r="G882" s="31"/>
      <c r="H882" s="32"/>
      <c r="J882" s="4">
        <f t="shared" si="89"/>
        <v>-41087548.45949996</v>
      </c>
      <c r="K882" s="6">
        <f t="shared" si="90"/>
        <v>0</v>
      </c>
      <c r="L882" s="9">
        <f t="shared" si="91"/>
        <v>0</v>
      </c>
    </row>
    <row r="883" spans="1:12" ht="12.75">
      <c r="A883" s="14">
        <v>39289</v>
      </c>
      <c r="B883" s="47" t="s">
        <v>95</v>
      </c>
      <c r="D883" s="48">
        <v>-357000</v>
      </c>
      <c r="E883" s="17"/>
      <c r="F883" s="17"/>
      <c r="G883" s="31"/>
      <c r="H883" s="32"/>
      <c r="J883" s="4">
        <f t="shared" si="89"/>
        <v>-41444548.45949996</v>
      </c>
      <c r="K883" s="6">
        <f t="shared" si="90"/>
        <v>0</v>
      </c>
      <c r="L883" s="9">
        <f t="shared" si="91"/>
        <v>0</v>
      </c>
    </row>
    <row r="884" spans="1:12" ht="12.75">
      <c r="A884" s="14">
        <v>39289</v>
      </c>
      <c r="B884" s="47" t="s">
        <v>194</v>
      </c>
      <c r="D884" s="48">
        <v>-200000</v>
      </c>
      <c r="E884" s="17"/>
      <c r="F884" s="17"/>
      <c r="G884" s="31"/>
      <c r="H884" s="32"/>
      <c r="J884" s="4">
        <f t="shared" si="89"/>
        <v>-41644548.45949996</v>
      </c>
      <c r="K884" s="6">
        <f t="shared" si="90"/>
        <v>0</v>
      </c>
      <c r="L884" s="9">
        <f t="shared" si="91"/>
        <v>0</v>
      </c>
    </row>
    <row r="885" spans="1:12" ht="12.75">
      <c r="A885" s="14">
        <v>39289</v>
      </c>
      <c r="B885" s="47" t="s">
        <v>27</v>
      </c>
      <c r="D885" s="48">
        <v>-252610</v>
      </c>
      <c r="E885" s="17"/>
      <c r="F885" s="17"/>
      <c r="G885" s="31"/>
      <c r="H885" s="32"/>
      <c r="J885" s="4">
        <f t="shared" si="89"/>
        <v>-41897158.45949996</v>
      </c>
      <c r="K885" s="6">
        <f t="shared" si="90"/>
        <v>0</v>
      </c>
      <c r="L885" s="9">
        <f t="shared" si="91"/>
        <v>0</v>
      </c>
    </row>
    <row r="886" spans="1:12" ht="12.75">
      <c r="A886" s="14">
        <v>39289</v>
      </c>
      <c r="B886" s="47" t="s">
        <v>36</v>
      </c>
      <c r="D886" s="48">
        <v>-6825</v>
      </c>
      <c r="E886" s="17"/>
      <c r="F886" s="17"/>
      <c r="G886" s="31"/>
      <c r="H886" s="32"/>
      <c r="J886" s="4">
        <f t="shared" si="89"/>
        <v>-41903983.45949996</v>
      </c>
      <c r="K886" s="6">
        <f t="shared" si="90"/>
        <v>0</v>
      </c>
      <c r="L886" s="9">
        <f t="shared" si="91"/>
        <v>0</v>
      </c>
    </row>
    <row r="887" spans="1:12" ht="12.75">
      <c r="A887" s="14">
        <v>39289</v>
      </c>
      <c r="B887" s="47" t="s">
        <v>7</v>
      </c>
      <c r="D887" s="48"/>
      <c r="E887" s="17">
        <v>-22500</v>
      </c>
      <c r="F887" s="17"/>
      <c r="G887" s="31"/>
      <c r="H887" s="32"/>
      <c r="J887" s="4">
        <f t="shared" si="89"/>
        <v>-41926483.45949996</v>
      </c>
      <c r="K887" s="6">
        <f t="shared" si="90"/>
        <v>0</v>
      </c>
      <c r="L887" s="9">
        <f t="shared" si="91"/>
        <v>0</v>
      </c>
    </row>
    <row r="888" spans="1:12" ht="12.75">
      <c r="A888" s="14">
        <v>39289</v>
      </c>
      <c r="B888" s="47" t="s">
        <v>28</v>
      </c>
      <c r="D888" s="48">
        <v>-41176.8</v>
      </c>
      <c r="E888" s="17"/>
      <c r="F888" s="17"/>
      <c r="G888" s="31"/>
      <c r="H888" s="32"/>
      <c r="J888" s="4">
        <f t="shared" si="89"/>
        <v>-41967660.25949996</v>
      </c>
      <c r="K888" s="6">
        <f t="shared" si="90"/>
        <v>1</v>
      </c>
      <c r="L888" s="9">
        <f t="shared" si="91"/>
        <v>-22995.97822438354</v>
      </c>
    </row>
    <row r="889" spans="1:12" ht="12.75">
      <c r="A889" s="14">
        <v>39290</v>
      </c>
      <c r="B889" s="47" t="s">
        <v>28</v>
      </c>
      <c r="D889" s="48">
        <v>-52500</v>
      </c>
      <c r="E889" s="17"/>
      <c r="F889" s="17"/>
      <c r="G889" s="31"/>
      <c r="H889" s="32"/>
      <c r="J889" s="4">
        <f t="shared" si="89"/>
        <v>-42020160.25949996</v>
      </c>
      <c r="K889" s="6">
        <f t="shared" si="90"/>
        <v>0</v>
      </c>
      <c r="L889" s="9">
        <f t="shared" si="91"/>
        <v>0</v>
      </c>
    </row>
    <row r="890" spans="1:12" ht="12.75">
      <c r="A890" s="14">
        <v>39290</v>
      </c>
      <c r="B890" s="47" t="s">
        <v>27</v>
      </c>
      <c r="D890" s="49">
        <v>-21589.49</v>
      </c>
      <c r="E890" s="17"/>
      <c r="F890" s="17"/>
      <c r="G890" s="31"/>
      <c r="H890" s="32"/>
      <c r="J890" s="4">
        <f t="shared" si="89"/>
        <v>-42041749.74949996</v>
      </c>
      <c r="K890" s="6">
        <f t="shared" si="90"/>
        <v>0</v>
      </c>
      <c r="L890" s="9">
        <f t="shared" si="91"/>
        <v>0</v>
      </c>
    </row>
    <row r="891" spans="1:12" ht="12.75">
      <c r="A891" s="14">
        <v>39290</v>
      </c>
      <c r="B891" s="47" t="s">
        <v>95</v>
      </c>
      <c r="D891" s="49">
        <v>-168550</v>
      </c>
      <c r="E891" s="17"/>
      <c r="F891" s="17"/>
      <c r="G891" s="31"/>
      <c r="H891" s="32"/>
      <c r="J891" s="4">
        <f t="shared" si="89"/>
        <v>-42210299.74949996</v>
      </c>
      <c r="K891" s="6">
        <f t="shared" si="90"/>
        <v>0</v>
      </c>
      <c r="L891" s="9">
        <f t="shared" si="91"/>
        <v>0</v>
      </c>
    </row>
    <row r="892" spans="1:12" ht="12.75">
      <c r="A892" s="14">
        <v>39290</v>
      </c>
      <c r="B892" s="47" t="s">
        <v>138</v>
      </c>
      <c r="D892" s="49">
        <v>-200000</v>
      </c>
      <c r="E892" s="17"/>
      <c r="F892" s="17"/>
      <c r="G892" s="31"/>
      <c r="H892" s="32"/>
      <c r="J892" s="4">
        <f t="shared" si="89"/>
        <v>-42410299.74949996</v>
      </c>
      <c r="K892" s="6">
        <f t="shared" si="90"/>
        <v>3</v>
      </c>
      <c r="L892" s="9">
        <f t="shared" si="91"/>
        <v>-69715.56123205474</v>
      </c>
    </row>
    <row r="893" spans="1:12" ht="12.75">
      <c r="A893" s="14">
        <v>39293</v>
      </c>
      <c r="B893" s="47" t="s">
        <v>21</v>
      </c>
      <c r="D893" s="49">
        <v>-105000</v>
      </c>
      <c r="E893" s="17"/>
      <c r="F893" s="17"/>
      <c r="G893" s="31"/>
      <c r="H893" s="32"/>
      <c r="J893" s="4">
        <f t="shared" si="89"/>
        <v>-42515299.74949996</v>
      </c>
      <c r="K893" s="6">
        <f t="shared" si="90"/>
        <v>0</v>
      </c>
      <c r="L893" s="9">
        <f t="shared" si="91"/>
        <v>0</v>
      </c>
    </row>
    <row r="894" spans="1:12" ht="12.75">
      <c r="A894" s="14">
        <v>39293</v>
      </c>
      <c r="B894" s="47" t="s">
        <v>45</v>
      </c>
      <c r="D894" s="49">
        <v>-1000000</v>
      </c>
      <c r="E894" s="17"/>
      <c r="F894" s="17"/>
      <c r="G894" s="31"/>
      <c r="H894" s="32"/>
      <c r="J894" s="4">
        <f t="shared" si="89"/>
        <v>-43515299.74949996</v>
      </c>
      <c r="K894" s="6">
        <f t="shared" si="90"/>
        <v>0</v>
      </c>
      <c r="L894" s="9">
        <f t="shared" si="91"/>
        <v>0</v>
      </c>
    </row>
    <row r="895" spans="1:12" ht="12.75">
      <c r="A895" s="14">
        <v>39293</v>
      </c>
      <c r="B895" s="47" t="s">
        <v>213</v>
      </c>
      <c r="D895" s="49">
        <v>-4165</v>
      </c>
      <c r="E895" s="17"/>
      <c r="F895" s="17"/>
      <c r="G895" s="31"/>
      <c r="H895" s="32"/>
      <c r="J895" s="4">
        <f t="shared" si="89"/>
        <v>-43519464.74949996</v>
      </c>
      <c r="K895" s="6">
        <f t="shared" si="90"/>
        <v>0</v>
      </c>
      <c r="L895" s="9">
        <f t="shared" si="91"/>
        <v>0</v>
      </c>
    </row>
    <row r="896" spans="1:12" ht="12.75">
      <c r="A896" s="14">
        <v>39293</v>
      </c>
      <c r="B896" s="47" t="s">
        <v>214</v>
      </c>
      <c r="D896" s="49">
        <v>-62000</v>
      </c>
      <c r="E896" s="17"/>
      <c r="F896" s="17"/>
      <c r="G896" s="49"/>
      <c r="H896" s="32"/>
      <c r="J896" s="4">
        <f t="shared" si="89"/>
        <v>-43581464.74949996</v>
      </c>
      <c r="K896" s="6">
        <f t="shared" si="90"/>
        <v>1</v>
      </c>
      <c r="L896" s="9">
        <f t="shared" si="91"/>
        <v>-23880.25465726025</v>
      </c>
    </row>
    <row r="897" spans="1:12" ht="12.75">
      <c r="A897" s="14">
        <v>39294</v>
      </c>
      <c r="B897" s="47" t="s">
        <v>28</v>
      </c>
      <c r="D897" s="49">
        <v>-210000</v>
      </c>
      <c r="E897" s="17"/>
      <c r="F897" s="17"/>
      <c r="G897" s="49"/>
      <c r="H897" s="32"/>
      <c r="J897" s="4">
        <f t="shared" si="86"/>
        <v>-43791464.74949996</v>
      </c>
      <c r="K897" s="6">
        <f t="shared" si="87"/>
        <v>0</v>
      </c>
      <c r="L897" s="9">
        <f t="shared" si="88"/>
        <v>0</v>
      </c>
    </row>
    <row r="898" spans="1:12" ht="12.75">
      <c r="A898" s="14">
        <v>39294</v>
      </c>
      <c r="B898" s="47" t="s">
        <v>215</v>
      </c>
      <c r="D898" s="49"/>
      <c r="E898" s="17"/>
      <c r="F898" s="17"/>
      <c r="G898" s="49">
        <v>-132123</v>
      </c>
      <c r="H898" s="32"/>
      <c r="J898" s="4">
        <f t="shared" si="86"/>
        <v>-43923587.74949996</v>
      </c>
      <c r="K898" s="6">
        <f t="shared" si="87"/>
        <v>1</v>
      </c>
      <c r="L898" s="9">
        <f t="shared" si="88"/>
        <v>-24067.719314794504</v>
      </c>
    </row>
    <row r="899" spans="1:12" ht="12.75">
      <c r="A899" s="14">
        <v>39295</v>
      </c>
      <c r="B899" s="47" t="s">
        <v>27</v>
      </c>
      <c r="D899" s="49">
        <v>-410462.9</v>
      </c>
      <c r="E899" s="17"/>
      <c r="F899" s="17"/>
      <c r="G899" s="49"/>
      <c r="H899" s="32"/>
      <c r="J899" s="4">
        <f t="shared" si="86"/>
        <v>-44334050.64949996</v>
      </c>
      <c r="K899" s="6">
        <f t="shared" si="87"/>
        <v>1</v>
      </c>
      <c r="L899" s="9">
        <f t="shared" si="88"/>
        <v>-24292.63049287669</v>
      </c>
    </row>
    <row r="900" spans="1:12" ht="12.75">
      <c r="A900" s="14">
        <v>39296</v>
      </c>
      <c r="B900" s="47" t="s">
        <v>186</v>
      </c>
      <c r="D900" s="49"/>
      <c r="E900" s="17"/>
      <c r="F900" s="17"/>
      <c r="G900" s="49">
        <v>-2000</v>
      </c>
      <c r="H900" s="32"/>
      <c r="J900" s="4">
        <f t="shared" si="86"/>
        <v>-44336050.64949996</v>
      </c>
      <c r="K900" s="6">
        <f t="shared" si="87"/>
        <v>0</v>
      </c>
      <c r="L900" s="9">
        <f t="shared" si="88"/>
        <v>0</v>
      </c>
    </row>
    <row r="901" spans="1:12" ht="12.75">
      <c r="A901" s="14">
        <v>39296</v>
      </c>
      <c r="B901" s="47" t="s">
        <v>27</v>
      </c>
      <c r="D901" s="49">
        <v>-101110</v>
      </c>
      <c r="E901" s="17"/>
      <c r="F901" s="17"/>
      <c r="G901" s="49"/>
      <c r="H901" s="32"/>
      <c r="J901" s="4">
        <f t="shared" si="86"/>
        <v>-44437160.64949996</v>
      </c>
      <c r="K901" s="6">
        <f t="shared" si="87"/>
        <v>0</v>
      </c>
      <c r="L901" s="9">
        <f t="shared" si="88"/>
        <v>0</v>
      </c>
    </row>
    <row r="902" spans="1:12" ht="12.75">
      <c r="A902" s="14">
        <v>39296</v>
      </c>
      <c r="B902" s="47" t="s">
        <v>95</v>
      </c>
      <c r="D902" s="49">
        <v>-13800</v>
      </c>
      <c r="E902" s="17"/>
      <c r="F902" s="17"/>
      <c r="G902" s="31"/>
      <c r="H902" s="32"/>
      <c r="J902" s="4">
        <f t="shared" si="86"/>
        <v>-44450960.64949996</v>
      </c>
      <c r="K902" s="6">
        <f t="shared" si="87"/>
        <v>0</v>
      </c>
      <c r="L902" s="9">
        <f t="shared" si="88"/>
        <v>0</v>
      </c>
    </row>
    <row r="903" spans="1:12" ht="12.75">
      <c r="A903" s="14">
        <v>39296</v>
      </c>
      <c r="B903" s="47" t="s">
        <v>20</v>
      </c>
      <c r="D903" s="49">
        <v>-106000</v>
      </c>
      <c r="E903" s="17"/>
      <c r="F903" s="17"/>
      <c r="G903" s="31"/>
      <c r="H903" s="32"/>
      <c r="J903" s="4">
        <f t="shared" si="86"/>
        <v>-44556960.64949996</v>
      </c>
      <c r="K903" s="6">
        <f t="shared" si="87"/>
        <v>1</v>
      </c>
      <c r="L903" s="9">
        <f t="shared" si="88"/>
        <v>-24414.772958630114</v>
      </c>
    </row>
    <row r="904" spans="1:12" ht="12.75">
      <c r="A904" s="14">
        <v>39297</v>
      </c>
      <c r="B904" s="47" t="s">
        <v>21</v>
      </c>
      <c r="D904" s="49">
        <v>-48300</v>
      </c>
      <c r="E904" s="17"/>
      <c r="F904" s="17"/>
      <c r="G904" s="31"/>
      <c r="H904" s="32"/>
      <c r="J904" s="4">
        <f t="shared" si="86"/>
        <v>-44605260.64949996</v>
      </c>
      <c r="K904" s="6">
        <f t="shared" si="87"/>
        <v>0</v>
      </c>
      <c r="L904" s="9">
        <f t="shared" si="88"/>
        <v>0</v>
      </c>
    </row>
    <row r="905" spans="1:12" ht="12.75">
      <c r="A905" s="14">
        <v>39297</v>
      </c>
      <c r="B905" s="47" t="s">
        <v>95</v>
      </c>
      <c r="D905" s="49">
        <v>-31800</v>
      </c>
      <c r="E905" s="17"/>
      <c r="F905" s="17"/>
      <c r="G905" s="31"/>
      <c r="H905" s="32"/>
      <c r="J905" s="4">
        <f t="shared" si="86"/>
        <v>-44637060.64949996</v>
      </c>
      <c r="K905" s="6">
        <f t="shared" si="87"/>
        <v>3</v>
      </c>
      <c r="L905" s="9">
        <f t="shared" si="88"/>
        <v>-73375.99010876707</v>
      </c>
    </row>
    <row r="906" spans="1:12" ht="12.75">
      <c r="A906" s="14">
        <v>39300</v>
      </c>
      <c r="B906" s="47" t="s">
        <v>20</v>
      </c>
      <c r="D906" s="49">
        <v>-159000</v>
      </c>
      <c r="E906" s="17"/>
      <c r="F906" s="17"/>
      <c r="G906" s="31"/>
      <c r="H906" s="32"/>
      <c r="J906" s="4">
        <f t="shared" si="86"/>
        <v>-44796060.64949996</v>
      </c>
      <c r="K906" s="6">
        <f t="shared" si="87"/>
        <v>0</v>
      </c>
      <c r="L906" s="9">
        <f t="shared" si="88"/>
        <v>0</v>
      </c>
    </row>
    <row r="907" spans="1:12" ht="12.75">
      <c r="A907" s="14">
        <v>39300</v>
      </c>
      <c r="B907" s="47" t="s">
        <v>28</v>
      </c>
      <c r="D907" s="49">
        <v>-315000</v>
      </c>
      <c r="E907" s="17"/>
      <c r="F907" s="17"/>
      <c r="G907" s="31"/>
      <c r="H907" s="32"/>
      <c r="J907" s="4">
        <f aca="true" t="shared" si="92" ref="J907:J924">J906+D907+E907+F907+G907+H907+I907</f>
        <v>-45111060.64949996</v>
      </c>
      <c r="K907" s="6">
        <f aca="true" t="shared" si="93" ref="K907:K924">DATEDIF(A907,A908,"d")</f>
        <v>0</v>
      </c>
      <c r="L907" s="9">
        <f aca="true" t="shared" si="94" ref="L907:L924">J907*K907*0.2/365</f>
        <v>0</v>
      </c>
    </row>
    <row r="908" spans="1:12" ht="12.75">
      <c r="A908" s="14">
        <v>39300</v>
      </c>
      <c r="B908" s="47" t="s">
        <v>95</v>
      </c>
      <c r="D908" s="49">
        <v>-20000</v>
      </c>
      <c r="E908" s="17"/>
      <c r="F908" s="17"/>
      <c r="G908" s="31"/>
      <c r="H908" s="32"/>
      <c r="J908" s="4">
        <f t="shared" si="92"/>
        <v>-45131060.64949996</v>
      </c>
      <c r="K908" s="6">
        <f t="shared" si="93"/>
        <v>1</v>
      </c>
      <c r="L908" s="9">
        <f t="shared" si="94"/>
        <v>-24729.348301095866</v>
      </c>
    </row>
    <row r="909" spans="1:12" ht="12.75">
      <c r="A909" s="14">
        <v>39301</v>
      </c>
      <c r="B909" s="47" t="s">
        <v>216</v>
      </c>
      <c r="D909" s="49">
        <v>-1000000</v>
      </c>
      <c r="E909" s="17"/>
      <c r="F909" s="17"/>
      <c r="G909" s="31"/>
      <c r="H909" s="32"/>
      <c r="J909" s="4">
        <f t="shared" si="92"/>
        <v>-46131060.64949996</v>
      </c>
      <c r="K909" s="6">
        <f t="shared" si="93"/>
        <v>0</v>
      </c>
      <c r="L909" s="9">
        <f t="shared" si="94"/>
        <v>0</v>
      </c>
    </row>
    <row r="910" spans="1:12" ht="12.75">
      <c r="A910" s="14">
        <v>39301</v>
      </c>
      <c r="B910" s="47" t="s">
        <v>95</v>
      </c>
      <c r="D910" s="49">
        <v>-6000</v>
      </c>
      <c r="E910" s="17"/>
      <c r="F910" s="17"/>
      <c r="G910" s="31"/>
      <c r="H910" s="32"/>
      <c r="J910" s="4">
        <f t="shared" si="92"/>
        <v>-46137060.64949996</v>
      </c>
      <c r="K910" s="6">
        <f t="shared" si="93"/>
        <v>1</v>
      </c>
      <c r="L910" s="9">
        <f t="shared" si="94"/>
        <v>-25280.581177808195</v>
      </c>
    </row>
    <row r="911" spans="1:12" ht="12.75">
      <c r="A911" s="14">
        <v>39302</v>
      </c>
      <c r="B911" s="47" t="s">
        <v>20</v>
      </c>
      <c r="D911" s="49">
        <v>-265000</v>
      </c>
      <c r="E911" s="17"/>
      <c r="F911" s="17"/>
      <c r="G911" s="31"/>
      <c r="H911" s="32"/>
      <c r="J911" s="4">
        <f t="shared" si="92"/>
        <v>-46402060.64949996</v>
      </c>
      <c r="K911" s="6">
        <f t="shared" si="93"/>
        <v>0</v>
      </c>
      <c r="L911" s="9">
        <f t="shared" si="94"/>
        <v>0</v>
      </c>
    </row>
    <row r="912" spans="1:12" ht="12.75">
      <c r="A912" s="14">
        <v>39302</v>
      </c>
      <c r="B912" s="47" t="s">
        <v>219</v>
      </c>
      <c r="D912" s="49">
        <v>-102481.44</v>
      </c>
      <c r="E912" s="17"/>
      <c r="F912" s="17"/>
      <c r="G912" s="31"/>
      <c r="H912" s="32"/>
      <c r="J912" s="4">
        <f t="shared" si="92"/>
        <v>-46504542.08949996</v>
      </c>
      <c r="K912" s="6">
        <f t="shared" si="93"/>
        <v>0</v>
      </c>
      <c r="L912" s="9">
        <f t="shared" si="94"/>
        <v>0</v>
      </c>
    </row>
    <row r="913" spans="1:12" ht="12.75">
      <c r="A913" s="14">
        <v>39302</v>
      </c>
      <c r="B913" s="47" t="s">
        <v>220</v>
      </c>
      <c r="D913" s="49">
        <v>-350000</v>
      </c>
      <c r="E913" s="17"/>
      <c r="F913" s="17"/>
      <c r="G913" s="31"/>
      <c r="H913" s="32"/>
      <c r="J913" s="4">
        <f t="shared" si="92"/>
        <v>-46854542.08949996</v>
      </c>
      <c r="K913" s="6">
        <f t="shared" si="93"/>
        <v>0</v>
      </c>
      <c r="L913" s="9">
        <f t="shared" si="94"/>
        <v>0</v>
      </c>
    </row>
    <row r="914" spans="1:12" ht="12.75">
      <c r="A914" s="14">
        <v>39302</v>
      </c>
      <c r="B914" s="47" t="s">
        <v>221</v>
      </c>
      <c r="D914" s="49">
        <v>-208000</v>
      </c>
      <c r="E914" s="17"/>
      <c r="F914" s="17"/>
      <c r="G914" s="31"/>
      <c r="H914" s="32"/>
      <c r="J914" s="4">
        <f t="shared" si="92"/>
        <v>-47062542.08949996</v>
      </c>
      <c r="K914" s="6">
        <f t="shared" si="93"/>
        <v>0</v>
      </c>
      <c r="L914" s="9">
        <f t="shared" si="94"/>
        <v>0</v>
      </c>
    </row>
    <row r="915" spans="1:12" ht="12.75">
      <c r="A915" s="14">
        <v>39302</v>
      </c>
      <c r="B915" s="30" t="s">
        <v>230</v>
      </c>
      <c r="C915" s="29">
        <f>2434654.1*0.8</f>
        <v>1947723.2800000003</v>
      </c>
      <c r="D915" s="71"/>
      <c r="E915" s="32"/>
      <c r="F915" s="31"/>
      <c r="G915" s="31"/>
      <c r="H915" s="32"/>
      <c r="J915" s="4">
        <f t="shared" si="92"/>
        <v>-47062542.08949996</v>
      </c>
      <c r="K915" s="6">
        <f t="shared" si="93"/>
        <v>0</v>
      </c>
      <c r="L915" s="9">
        <f t="shared" si="94"/>
        <v>0</v>
      </c>
    </row>
    <row r="916" spans="1:12" ht="12.75">
      <c r="A916" s="14">
        <v>39302</v>
      </c>
      <c r="B916" s="13" t="s">
        <v>32</v>
      </c>
      <c r="C916" s="17">
        <f>-C915</f>
        <v>-1947723.2800000003</v>
      </c>
      <c r="D916" s="46"/>
      <c r="E916" s="17"/>
      <c r="F916" s="31"/>
      <c r="G916" s="31"/>
      <c r="H916" s="32">
        <f>-C916</f>
        <v>1947723.2800000003</v>
      </c>
      <c r="J916" s="4">
        <f t="shared" si="92"/>
        <v>-45114818.80949996</v>
      </c>
      <c r="K916" s="6">
        <f t="shared" si="93"/>
        <v>1</v>
      </c>
      <c r="L916" s="9">
        <f t="shared" si="94"/>
        <v>-24720.448662739702</v>
      </c>
    </row>
    <row r="917" spans="1:12" ht="12.75">
      <c r="A917" s="14">
        <v>39303</v>
      </c>
      <c r="B917" s="47" t="s">
        <v>21</v>
      </c>
      <c r="D917" s="49">
        <v>-72450</v>
      </c>
      <c r="E917" s="17"/>
      <c r="F917" s="17"/>
      <c r="G917" s="31"/>
      <c r="H917" s="32"/>
      <c r="J917" s="4">
        <f t="shared" si="92"/>
        <v>-45187268.80949996</v>
      </c>
      <c r="K917" s="6">
        <f t="shared" si="93"/>
        <v>0</v>
      </c>
      <c r="L917" s="9">
        <f t="shared" si="94"/>
        <v>0</v>
      </c>
    </row>
    <row r="918" spans="1:12" ht="12.75">
      <c r="A918" s="14">
        <v>39303</v>
      </c>
      <c r="B918" s="47" t="s">
        <v>20</v>
      </c>
      <c r="D918" s="49">
        <v>-265000</v>
      </c>
      <c r="E918" s="17"/>
      <c r="F918" s="17"/>
      <c r="G918" s="31"/>
      <c r="H918" s="32"/>
      <c r="J918" s="4">
        <f t="shared" si="92"/>
        <v>-45452268.80949996</v>
      </c>
      <c r="K918" s="6">
        <f t="shared" si="93"/>
        <v>1</v>
      </c>
      <c r="L918" s="9">
        <f t="shared" si="94"/>
        <v>-24905.35277232874</v>
      </c>
    </row>
    <row r="919" spans="1:12" ht="12.75">
      <c r="A919" s="14">
        <v>39304</v>
      </c>
      <c r="B919" s="47" t="s">
        <v>217</v>
      </c>
      <c r="D919" s="49">
        <v>-15000</v>
      </c>
      <c r="E919" s="17"/>
      <c r="F919" s="17"/>
      <c r="G919" s="31"/>
      <c r="H919" s="32"/>
      <c r="J919" s="4">
        <f t="shared" si="92"/>
        <v>-45467268.80949996</v>
      </c>
      <c r="K919" s="6">
        <f t="shared" si="93"/>
        <v>0</v>
      </c>
      <c r="L919" s="9">
        <f t="shared" si="94"/>
        <v>0</v>
      </c>
    </row>
    <row r="920" spans="1:12" ht="12.75">
      <c r="A920" s="14">
        <v>39304</v>
      </c>
      <c r="B920" s="47" t="s">
        <v>222</v>
      </c>
      <c r="D920" s="49">
        <v>-2802</v>
      </c>
      <c r="E920" s="17"/>
      <c r="F920" s="17"/>
      <c r="G920" s="31"/>
      <c r="H920" s="32"/>
      <c r="J920" s="4">
        <f t="shared" si="92"/>
        <v>-45470070.80949996</v>
      </c>
      <c r="K920" s="6">
        <f t="shared" si="93"/>
        <v>0</v>
      </c>
      <c r="L920" s="9">
        <f t="shared" si="94"/>
        <v>0</v>
      </c>
    </row>
    <row r="921" spans="1:12" ht="12.75">
      <c r="A921" s="14">
        <v>39304</v>
      </c>
      <c r="B921" s="47" t="s">
        <v>223</v>
      </c>
      <c r="D921" s="49">
        <v>-202000</v>
      </c>
      <c r="E921" s="17"/>
      <c r="F921" s="17"/>
      <c r="G921" s="31"/>
      <c r="H921" s="32"/>
      <c r="J921" s="4">
        <f t="shared" si="92"/>
        <v>-45672070.80949996</v>
      </c>
      <c r="K921" s="6">
        <f t="shared" si="93"/>
        <v>0</v>
      </c>
      <c r="L921" s="9">
        <f t="shared" si="94"/>
        <v>0</v>
      </c>
    </row>
    <row r="922" spans="1:12" ht="12.75">
      <c r="A922" s="14">
        <v>39304</v>
      </c>
      <c r="B922" s="47" t="s">
        <v>218</v>
      </c>
      <c r="D922" s="49">
        <v>-52300</v>
      </c>
      <c r="H922" s="32"/>
      <c r="J922" s="4">
        <f t="shared" si="92"/>
        <v>-45724370.80949996</v>
      </c>
      <c r="K922" s="6">
        <f t="shared" si="93"/>
        <v>0</v>
      </c>
      <c r="L922" s="9">
        <f t="shared" si="94"/>
        <v>0</v>
      </c>
    </row>
    <row r="923" spans="1:12" ht="12.75">
      <c r="A923" s="14">
        <v>39304</v>
      </c>
      <c r="B923" s="47" t="s">
        <v>21</v>
      </c>
      <c r="D923" s="49">
        <v>-105000</v>
      </c>
      <c r="E923" s="17"/>
      <c r="F923" s="31"/>
      <c r="G923" s="31"/>
      <c r="H923" s="32"/>
      <c r="J923" s="4">
        <f t="shared" si="92"/>
        <v>-45829370.80949996</v>
      </c>
      <c r="K923" s="6">
        <f t="shared" si="93"/>
        <v>0</v>
      </c>
      <c r="L923" s="9">
        <f t="shared" si="94"/>
        <v>0</v>
      </c>
    </row>
    <row r="924" spans="1:12" ht="12.75">
      <c r="A924" s="14">
        <v>39304</v>
      </c>
      <c r="B924" s="47" t="s">
        <v>225</v>
      </c>
      <c r="E924" s="17"/>
      <c r="F924" s="49">
        <v>-68065.43</v>
      </c>
      <c r="G924" s="31"/>
      <c r="H924" s="32"/>
      <c r="J924" s="4">
        <f t="shared" si="92"/>
        <v>-45897436.23949996</v>
      </c>
      <c r="K924" s="6">
        <f t="shared" si="93"/>
        <v>3</v>
      </c>
      <c r="L924" s="9">
        <f t="shared" si="94"/>
        <v>-75447.84039369856</v>
      </c>
    </row>
    <row r="925" spans="1:12" ht="12.75">
      <c r="A925" s="14">
        <v>39307</v>
      </c>
      <c r="B925" s="47" t="s">
        <v>216</v>
      </c>
      <c r="D925" s="48">
        <v>-600000</v>
      </c>
      <c r="E925" s="17"/>
      <c r="F925" s="49"/>
      <c r="G925" s="31"/>
      <c r="H925" s="32"/>
      <c r="J925" s="4">
        <f aca="true" t="shared" si="95" ref="J925:J936">J924+D925+E925+F925+G925+H925+I925</f>
        <v>-46497436.23949996</v>
      </c>
      <c r="K925" s="6">
        <f aca="true" t="shared" si="96" ref="K925:K936">DATEDIF(A925,A926,"d")</f>
        <v>0</v>
      </c>
      <c r="L925" s="9">
        <f aca="true" t="shared" si="97" ref="L925:L936">J925*K925*0.2/365</f>
        <v>0</v>
      </c>
    </row>
    <row r="926" spans="1:12" ht="12.75">
      <c r="A926" s="14">
        <v>39307</v>
      </c>
      <c r="B926" s="47" t="s">
        <v>228</v>
      </c>
      <c r="D926" s="48">
        <v>-271300</v>
      </c>
      <c r="E926" s="17"/>
      <c r="F926" s="49"/>
      <c r="G926" s="31"/>
      <c r="H926" s="32"/>
      <c r="J926" s="4">
        <f t="shared" si="95"/>
        <v>-46768736.23949996</v>
      </c>
      <c r="K926" s="6">
        <f t="shared" si="96"/>
        <v>0</v>
      </c>
      <c r="L926" s="9">
        <f t="shared" si="97"/>
        <v>0</v>
      </c>
    </row>
    <row r="927" spans="1:12" ht="12.75">
      <c r="A927" s="14">
        <v>39307</v>
      </c>
      <c r="B927" s="47" t="s">
        <v>20</v>
      </c>
      <c r="D927" s="48">
        <v>-212000</v>
      </c>
      <c r="E927" s="17"/>
      <c r="F927" s="49"/>
      <c r="G927" s="31"/>
      <c r="H927" s="32"/>
      <c r="J927" s="4">
        <f t="shared" si="95"/>
        <v>-46980736.23949996</v>
      </c>
      <c r="K927" s="6">
        <f t="shared" si="96"/>
        <v>0</v>
      </c>
      <c r="L927" s="9">
        <f t="shared" si="97"/>
        <v>0</v>
      </c>
    </row>
    <row r="928" spans="1:12" ht="12.75">
      <c r="A928" s="14">
        <v>39307</v>
      </c>
      <c r="B928" s="47" t="s">
        <v>226</v>
      </c>
      <c r="D928" s="48">
        <v>-388000</v>
      </c>
      <c r="E928" s="17"/>
      <c r="F928" s="49"/>
      <c r="G928" s="31"/>
      <c r="H928" s="32"/>
      <c r="J928" s="4">
        <f t="shared" si="95"/>
        <v>-47368736.23949996</v>
      </c>
      <c r="K928" s="6">
        <f t="shared" si="96"/>
        <v>0</v>
      </c>
      <c r="L928" s="9">
        <f t="shared" si="97"/>
        <v>0</v>
      </c>
    </row>
    <row r="929" spans="1:12" ht="12.75">
      <c r="A929" s="14">
        <v>39307</v>
      </c>
      <c r="B929" s="47" t="s">
        <v>159</v>
      </c>
      <c r="D929" s="48">
        <v>-110000</v>
      </c>
      <c r="E929" s="17"/>
      <c r="F929" s="49"/>
      <c r="G929" s="31"/>
      <c r="H929" s="32"/>
      <c r="J929" s="4">
        <f t="shared" si="95"/>
        <v>-47478736.23949996</v>
      </c>
      <c r="K929" s="6">
        <f t="shared" si="96"/>
        <v>1</v>
      </c>
      <c r="L929" s="9">
        <f t="shared" si="97"/>
        <v>-26015.745884657514</v>
      </c>
    </row>
    <row r="930" spans="1:12" ht="12.75">
      <c r="A930" s="14">
        <v>39308</v>
      </c>
      <c r="B930" s="47" t="s">
        <v>138</v>
      </c>
      <c r="D930" s="48">
        <v>-202000</v>
      </c>
      <c r="E930" s="17"/>
      <c r="F930" s="49"/>
      <c r="G930" s="31"/>
      <c r="H930" s="32"/>
      <c r="J930" s="4">
        <f t="shared" si="95"/>
        <v>-47680736.23949996</v>
      </c>
      <c r="K930" s="6">
        <f t="shared" si="96"/>
        <v>0</v>
      </c>
      <c r="L930" s="9">
        <f t="shared" si="97"/>
        <v>0</v>
      </c>
    </row>
    <row r="931" spans="1:12" ht="12.75">
      <c r="A931" s="14">
        <v>39308</v>
      </c>
      <c r="B931" s="47" t="s">
        <v>20</v>
      </c>
      <c r="D931" s="48">
        <v>-227900</v>
      </c>
      <c r="E931" s="17"/>
      <c r="F931" s="49"/>
      <c r="G931" s="31"/>
      <c r="H931" s="32"/>
      <c r="J931" s="4">
        <f t="shared" si="95"/>
        <v>-47908636.23949996</v>
      </c>
      <c r="K931" s="6">
        <f t="shared" si="96"/>
        <v>0</v>
      </c>
      <c r="L931" s="9">
        <f t="shared" si="97"/>
        <v>0</v>
      </c>
    </row>
    <row r="932" spans="1:12" ht="12.75">
      <c r="A932" s="14">
        <v>39308</v>
      </c>
      <c r="B932" s="47" t="s">
        <v>27</v>
      </c>
      <c r="D932" s="48">
        <v>-44403.55</v>
      </c>
      <c r="E932" s="17"/>
      <c r="F932" s="49"/>
      <c r="G932" s="31"/>
      <c r="H932" s="32"/>
      <c r="J932" s="4">
        <f t="shared" si="95"/>
        <v>-47953039.78949995</v>
      </c>
      <c r="K932" s="6">
        <f t="shared" si="96"/>
        <v>0</v>
      </c>
      <c r="L932" s="9">
        <f t="shared" si="97"/>
        <v>0</v>
      </c>
    </row>
    <row r="933" spans="1:12" ht="12.75">
      <c r="A933" s="14">
        <v>39308</v>
      </c>
      <c r="B933" s="84" t="s">
        <v>28</v>
      </c>
      <c r="C933" s="62"/>
      <c r="D933" s="78">
        <v>-105000</v>
      </c>
      <c r="E933" s="78"/>
      <c r="F933" s="83"/>
      <c r="G933" s="79"/>
      <c r="H933" s="32"/>
      <c r="J933" s="4">
        <f t="shared" si="95"/>
        <v>-48058039.78949995</v>
      </c>
      <c r="K933" s="6">
        <f t="shared" si="96"/>
        <v>0</v>
      </c>
      <c r="L933" s="9">
        <f t="shared" si="97"/>
        <v>0</v>
      </c>
    </row>
    <row r="934" spans="1:12" ht="12.75">
      <c r="A934" s="14">
        <v>39308</v>
      </c>
      <c r="B934" s="47" t="s">
        <v>7</v>
      </c>
      <c r="D934" s="48"/>
      <c r="E934" s="17">
        <v>-76500</v>
      </c>
      <c r="F934" s="49"/>
      <c r="G934" s="31"/>
      <c r="H934" s="32"/>
      <c r="J934" s="4">
        <f t="shared" si="95"/>
        <v>-48134539.78949995</v>
      </c>
      <c r="K934" s="6">
        <f t="shared" si="96"/>
        <v>0</v>
      </c>
      <c r="L934" s="9">
        <f t="shared" si="97"/>
        <v>0</v>
      </c>
    </row>
    <row r="935" spans="1:12" ht="12.75">
      <c r="A935" s="14">
        <v>39308</v>
      </c>
      <c r="B935" s="47" t="s">
        <v>7</v>
      </c>
      <c r="D935" s="48"/>
      <c r="E935" s="17">
        <v>-84150</v>
      </c>
      <c r="F935" s="49"/>
      <c r="G935" s="31"/>
      <c r="H935" s="32"/>
      <c r="J935" s="4">
        <f t="shared" si="95"/>
        <v>-48218689.78949995</v>
      </c>
      <c r="K935" s="6">
        <f t="shared" si="96"/>
        <v>0</v>
      </c>
      <c r="L935" s="9">
        <f t="shared" si="97"/>
        <v>0</v>
      </c>
    </row>
    <row r="936" spans="1:12" ht="12.75">
      <c r="A936" s="14">
        <v>39308</v>
      </c>
      <c r="B936" s="47" t="s">
        <v>7</v>
      </c>
      <c r="D936" s="48"/>
      <c r="E936" s="17">
        <v>-127500</v>
      </c>
      <c r="F936" s="49"/>
      <c r="G936" s="31"/>
      <c r="H936" s="32"/>
      <c r="J936" s="4">
        <f t="shared" si="95"/>
        <v>-48346189.78949995</v>
      </c>
      <c r="K936" s="6">
        <f t="shared" si="96"/>
        <v>1</v>
      </c>
      <c r="L936" s="9">
        <f t="shared" si="97"/>
        <v>-26491.06289835614</v>
      </c>
    </row>
    <row r="937" spans="1:12" ht="12.75">
      <c r="A937" s="14">
        <v>39309</v>
      </c>
      <c r="B937" s="47" t="s">
        <v>7</v>
      </c>
      <c r="D937" s="48"/>
      <c r="E937" s="17">
        <v>-84150</v>
      </c>
      <c r="F937" s="49"/>
      <c r="G937" s="31"/>
      <c r="H937" s="32"/>
      <c r="J937" s="4">
        <f aca="true" t="shared" si="98" ref="J937:J959">J936+D937+E937+F937+G937+H937+I937</f>
        <v>-48430339.78949995</v>
      </c>
      <c r="K937" s="6">
        <f aca="true" t="shared" si="99" ref="K937:K959">DATEDIF(A937,A938,"d")</f>
        <v>0</v>
      </c>
      <c r="L937" s="9">
        <f aca="true" t="shared" si="100" ref="L937:L959">J937*K937*0.2/365</f>
        <v>0</v>
      </c>
    </row>
    <row r="938" spans="1:12" ht="12.75">
      <c r="A938" s="14">
        <v>39309</v>
      </c>
      <c r="B938" s="47" t="s">
        <v>7</v>
      </c>
      <c r="D938" s="48"/>
      <c r="E938" s="17">
        <v>-66555</v>
      </c>
      <c r="F938" s="49"/>
      <c r="G938" s="31"/>
      <c r="H938" s="32"/>
      <c r="J938" s="4">
        <f t="shared" si="98"/>
        <v>-48496894.78949995</v>
      </c>
      <c r="K938" s="6">
        <f t="shared" si="99"/>
        <v>0</v>
      </c>
      <c r="L938" s="9">
        <f t="shared" si="100"/>
        <v>0</v>
      </c>
    </row>
    <row r="939" spans="1:12" ht="12.75">
      <c r="A939" s="14">
        <v>39309</v>
      </c>
      <c r="B939" s="47" t="s">
        <v>7</v>
      </c>
      <c r="D939" s="48"/>
      <c r="E939" s="17">
        <v>-68850</v>
      </c>
      <c r="F939" s="49"/>
      <c r="G939" s="31"/>
      <c r="H939" s="32"/>
      <c r="J939" s="4">
        <f t="shared" si="98"/>
        <v>-48565744.78949995</v>
      </c>
      <c r="K939" s="6">
        <f t="shared" si="99"/>
        <v>0</v>
      </c>
      <c r="L939" s="9">
        <f t="shared" si="100"/>
        <v>0</v>
      </c>
    </row>
    <row r="940" spans="1:12" ht="12.75">
      <c r="A940" s="14">
        <v>39309</v>
      </c>
      <c r="B940" s="47" t="s">
        <v>7</v>
      </c>
      <c r="D940" s="48"/>
      <c r="E940" s="17">
        <v>-49725</v>
      </c>
      <c r="F940" s="49"/>
      <c r="G940" s="31"/>
      <c r="H940" s="32"/>
      <c r="J940" s="4">
        <f t="shared" si="98"/>
        <v>-48615469.78949995</v>
      </c>
      <c r="K940" s="6">
        <f t="shared" si="99"/>
        <v>0</v>
      </c>
      <c r="L940" s="9">
        <f t="shared" si="100"/>
        <v>0</v>
      </c>
    </row>
    <row r="941" spans="1:12" ht="12.75">
      <c r="A941" s="14">
        <v>39309</v>
      </c>
      <c r="B941" s="47" t="s">
        <v>7</v>
      </c>
      <c r="D941" s="48"/>
      <c r="E941" s="17">
        <v>-99450</v>
      </c>
      <c r="F941" s="49"/>
      <c r="G941" s="31"/>
      <c r="H941" s="32"/>
      <c r="J941" s="4">
        <f t="shared" si="98"/>
        <v>-48714919.78949995</v>
      </c>
      <c r="K941" s="6">
        <f t="shared" si="99"/>
        <v>0</v>
      </c>
      <c r="L941" s="9">
        <f t="shared" si="100"/>
        <v>0</v>
      </c>
    </row>
    <row r="942" spans="1:12" ht="12.75">
      <c r="A942" s="14">
        <v>39309</v>
      </c>
      <c r="B942" s="47" t="s">
        <v>7</v>
      </c>
      <c r="D942" s="48"/>
      <c r="E942" s="17">
        <v>-45900</v>
      </c>
      <c r="F942" s="49"/>
      <c r="G942" s="31"/>
      <c r="H942" s="32"/>
      <c r="J942" s="4">
        <f t="shared" si="98"/>
        <v>-48760819.78949995</v>
      </c>
      <c r="K942" s="6">
        <f t="shared" si="99"/>
        <v>0</v>
      </c>
      <c r="L942" s="9">
        <f t="shared" si="100"/>
        <v>0</v>
      </c>
    </row>
    <row r="943" spans="1:12" ht="12.75">
      <c r="A943" s="14">
        <v>39309</v>
      </c>
      <c r="B943" s="47" t="s">
        <v>7</v>
      </c>
      <c r="D943" s="48"/>
      <c r="E943" s="17">
        <v>-105000</v>
      </c>
      <c r="F943" s="49"/>
      <c r="G943" s="31"/>
      <c r="H943" s="32"/>
      <c r="J943" s="4">
        <f t="shared" si="98"/>
        <v>-48865819.78949995</v>
      </c>
      <c r="K943" s="6">
        <f t="shared" si="99"/>
        <v>0</v>
      </c>
      <c r="L943" s="9">
        <f t="shared" si="100"/>
        <v>0</v>
      </c>
    </row>
    <row r="944" spans="1:12" ht="12.75">
      <c r="A944" s="14">
        <v>39309</v>
      </c>
      <c r="B944" s="47" t="s">
        <v>20</v>
      </c>
      <c r="D944" s="48">
        <v>-689000</v>
      </c>
      <c r="E944" s="17"/>
      <c r="F944" s="49"/>
      <c r="G944" s="31"/>
      <c r="H944" s="32"/>
      <c r="J944" s="4">
        <f t="shared" si="98"/>
        <v>-49554819.78949995</v>
      </c>
      <c r="K944" s="6">
        <f t="shared" si="99"/>
        <v>0</v>
      </c>
      <c r="L944" s="9">
        <f t="shared" si="100"/>
        <v>0</v>
      </c>
    </row>
    <row r="945" spans="1:12" ht="12.75">
      <c r="A945" s="14">
        <v>39309</v>
      </c>
      <c r="B945" s="47" t="s">
        <v>227</v>
      </c>
      <c r="D945" s="48">
        <v>-8550</v>
      </c>
      <c r="E945" s="17"/>
      <c r="F945" s="49"/>
      <c r="G945" s="31"/>
      <c r="H945" s="32"/>
      <c r="J945" s="4">
        <f t="shared" si="98"/>
        <v>-49563369.78949995</v>
      </c>
      <c r="K945" s="6">
        <f t="shared" si="99"/>
        <v>0</v>
      </c>
      <c r="L945" s="9">
        <f t="shared" si="100"/>
        <v>0</v>
      </c>
    </row>
    <row r="946" spans="1:12" ht="12.75">
      <c r="A946" s="14">
        <v>39309</v>
      </c>
      <c r="B946" s="47" t="s">
        <v>95</v>
      </c>
      <c r="D946" s="48">
        <v>-162000</v>
      </c>
      <c r="E946" s="17"/>
      <c r="F946" s="49"/>
      <c r="G946" s="31"/>
      <c r="H946" s="32"/>
      <c r="J946" s="4">
        <f t="shared" si="98"/>
        <v>-49725369.78949995</v>
      </c>
      <c r="K946" s="6">
        <f t="shared" si="99"/>
        <v>1</v>
      </c>
      <c r="L946" s="9">
        <f t="shared" si="100"/>
        <v>-27246.77796684929</v>
      </c>
    </row>
    <row r="947" spans="1:12" ht="12.75">
      <c r="A947" s="14">
        <v>39310</v>
      </c>
      <c r="B947" s="47" t="s">
        <v>7</v>
      </c>
      <c r="D947" s="48"/>
      <c r="E947" s="17">
        <v>-107100</v>
      </c>
      <c r="F947" s="49"/>
      <c r="G947" s="31"/>
      <c r="H947" s="32"/>
      <c r="J947" s="4">
        <f t="shared" si="98"/>
        <v>-49832469.78949995</v>
      </c>
      <c r="K947" s="6">
        <f t="shared" si="99"/>
        <v>0</v>
      </c>
      <c r="L947" s="9">
        <f t="shared" si="100"/>
        <v>0</v>
      </c>
    </row>
    <row r="948" spans="1:12" ht="12.75">
      <c r="A948" s="14">
        <v>39310</v>
      </c>
      <c r="B948" s="47" t="s">
        <v>7</v>
      </c>
      <c r="D948" s="48"/>
      <c r="E948" s="17">
        <v>-68850</v>
      </c>
      <c r="F948" s="49"/>
      <c r="G948" s="31"/>
      <c r="H948" s="32"/>
      <c r="J948" s="4">
        <f t="shared" si="98"/>
        <v>-49901319.78949995</v>
      </c>
      <c r="K948" s="6">
        <f t="shared" si="99"/>
        <v>0</v>
      </c>
      <c r="L948" s="9">
        <f t="shared" si="100"/>
        <v>0</v>
      </c>
    </row>
    <row r="949" spans="1:12" ht="12.75">
      <c r="A949" s="14">
        <v>39310</v>
      </c>
      <c r="B949" s="47" t="s">
        <v>7</v>
      </c>
      <c r="D949" s="48"/>
      <c r="E949" s="17">
        <v>-76500</v>
      </c>
      <c r="F949" s="49"/>
      <c r="G949" s="31"/>
      <c r="H949" s="32"/>
      <c r="J949" s="4">
        <f t="shared" si="98"/>
        <v>-49977819.78949995</v>
      </c>
      <c r="K949" s="6">
        <f t="shared" si="99"/>
        <v>0</v>
      </c>
      <c r="L949" s="9">
        <f t="shared" si="100"/>
        <v>0</v>
      </c>
    </row>
    <row r="950" spans="1:12" ht="12.75">
      <c r="A950" s="14">
        <v>39310</v>
      </c>
      <c r="B950" s="47" t="s">
        <v>7</v>
      </c>
      <c r="D950" s="48"/>
      <c r="E950" s="17">
        <v>-76500</v>
      </c>
      <c r="F950" s="49"/>
      <c r="G950" s="31"/>
      <c r="H950" s="32"/>
      <c r="J950" s="4">
        <f t="shared" si="98"/>
        <v>-50054319.78949995</v>
      </c>
      <c r="K950" s="6">
        <f t="shared" si="99"/>
        <v>0</v>
      </c>
      <c r="L950" s="9">
        <f t="shared" si="100"/>
        <v>0</v>
      </c>
    </row>
    <row r="951" spans="1:12" ht="12.75">
      <c r="A951" s="14">
        <v>39310</v>
      </c>
      <c r="B951" s="47" t="s">
        <v>7</v>
      </c>
      <c r="D951" s="48"/>
      <c r="E951" s="17">
        <v>-68850</v>
      </c>
      <c r="F951" s="49"/>
      <c r="G951" s="31"/>
      <c r="H951" s="32"/>
      <c r="J951" s="4">
        <f t="shared" si="98"/>
        <v>-50123169.78949995</v>
      </c>
      <c r="K951" s="6">
        <f t="shared" si="99"/>
        <v>0</v>
      </c>
      <c r="L951" s="9">
        <f t="shared" si="100"/>
        <v>0</v>
      </c>
    </row>
    <row r="952" spans="1:12" ht="12.75">
      <c r="A952" s="14">
        <v>39310</v>
      </c>
      <c r="B952" s="47" t="s">
        <v>7</v>
      </c>
      <c r="D952" s="48"/>
      <c r="E952" s="17">
        <v>-248050</v>
      </c>
      <c r="F952" s="49"/>
      <c r="G952" s="31"/>
      <c r="H952" s="32"/>
      <c r="J952" s="4">
        <f t="shared" si="98"/>
        <v>-50371219.78949995</v>
      </c>
      <c r="K952" s="6">
        <f t="shared" si="99"/>
        <v>0</v>
      </c>
      <c r="L952" s="9">
        <f t="shared" si="100"/>
        <v>0</v>
      </c>
    </row>
    <row r="953" spans="1:12" ht="12.75">
      <c r="A953" s="14">
        <v>39310</v>
      </c>
      <c r="B953" s="47" t="s">
        <v>28</v>
      </c>
      <c r="D953" s="48">
        <v>-136500</v>
      </c>
      <c r="E953" s="17"/>
      <c r="F953" s="49"/>
      <c r="G953" s="31"/>
      <c r="H953" s="32"/>
      <c r="J953" s="4">
        <f t="shared" si="98"/>
        <v>-50507719.78949995</v>
      </c>
      <c r="K953" s="6">
        <f t="shared" si="99"/>
        <v>1</v>
      </c>
      <c r="L953" s="9">
        <f t="shared" si="100"/>
        <v>-27675.46289835614</v>
      </c>
    </row>
    <row r="954" spans="1:12" ht="12.75">
      <c r="A954" s="14">
        <v>39311</v>
      </c>
      <c r="B954" s="47" t="s">
        <v>20</v>
      </c>
      <c r="D954" s="49">
        <v>-84800</v>
      </c>
      <c r="E954" s="17"/>
      <c r="F954" s="49"/>
      <c r="G954" s="31"/>
      <c r="H954" s="32"/>
      <c r="J954" s="4">
        <f t="shared" si="98"/>
        <v>-50592519.78949995</v>
      </c>
      <c r="K954" s="6">
        <f t="shared" si="99"/>
        <v>0</v>
      </c>
      <c r="L954" s="9">
        <f t="shared" si="100"/>
        <v>0</v>
      </c>
    </row>
    <row r="955" spans="1:12" ht="12.75">
      <c r="A955" s="14">
        <v>39311</v>
      </c>
      <c r="B955" s="47" t="s">
        <v>225</v>
      </c>
      <c r="D955" s="49"/>
      <c r="E955" s="17"/>
      <c r="F955" s="49">
        <v>-62622.37</v>
      </c>
      <c r="G955" s="31"/>
      <c r="H955" s="32"/>
      <c r="J955" s="4">
        <f t="shared" si="98"/>
        <v>-50655142.15949995</v>
      </c>
      <c r="K955" s="6">
        <f t="shared" si="99"/>
        <v>0</v>
      </c>
      <c r="L955" s="9">
        <f t="shared" si="100"/>
        <v>0</v>
      </c>
    </row>
    <row r="956" spans="1:12" ht="12.75">
      <c r="A956" s="14">
        <v>39311</v>
      </c>
      <c r="B956" s="47" t="s">
        <v>37</v>
      </c>
      <c r="D956" s="49"/>
      <c r="E956" s="17"/>
      <c r="F956" s="31"/>
      <c r="G956" s="49">
        <v>-6850.45</v>
      </c>
      <c r="H956" s="32"/>
      <c r="J956" s="4">
        <f t="shared" si="98"/>
        <v>-50661992.60949995</v>
      </c>
      <c r="K956" s="6">
        <f t="shared" si="99"/>
        <v>0</v>
      </c>
      <c r="L956" s="9">
        <f t="shared" si="100"/>
        <v>0</v>
      </c>
    </row>
    <row r="957" spans="1:12" ht="12.75">
      <c r="A957" s="14">
        <v>39311</v>
      </c>
      <c r="B957" s="47" t="s">
        <v>37</v>
      </c>
      <c r="D957" s="49"/>
      <c r="E957" s="17"/>
      <c r="F957" s="31"/>
      <c r="G957" s="49">
        <v>-933.1</v>
      </c>
      <c r="H957" s="32"/>
      <c r="J957" s="4">
        <f t="shared" si="98"/>
        <v>-50662925.709499955</v>
      </c>
      <c r="K957" s="6">
        <f t="shared" si="99"/>
        <v>0</v>
      </c>
      <c r="L957" s="9">
        <f t="shared" si="100"/>
        <v>0</v>
      </c>
    </row>
    <row r="958" spans="1:12" ht="12.75">
      <c r="A958" s="14">
        <v>39311</v>
      </c>
      <c r="B958" s="47" t="s">
        <v>37</v>
      </c>
      <c r="D958" s="49"/>
      <c r="E958" s="17"/>
      <c r="F958" s="31"/>
      <c r="G958" s="49">
        <v>-65436</v>
      </c>
      <c r="H958" s="32"/>
      <c r="J958" s="4">
        <f t="shared" si="98"/>
        <v>-50728361.709499955</v>
      </c>
      <c r="K958" s="6">
        <f t="shared" si="99"/>
        <v>0</v>
      </c>
      <c r="L958" s="9">
        <f t="shared" si="100"/>
        <v>0</v>
      </c>
    </row>
    <row r="959" spans="1:12" ht="12.75">
      <c r="A959" s="14">
        <v>39311</v>
      </c>
      <c r="B959" s="47" t="s">
        <v>37</v>
      </c>
      <c r="D959" s="49"/>
      <c r="E959" s="17"/>
      <c r="F959" s="31"/>
      <c r="G959" s="49">
        <v>-7500</v>
      </c>
      <c r="H959" s="32"/>
      <c r="J959" s="4">
        <f t="shared" si="98"/>
        <v>-50735861.709499955</v>
      </c>
      <c r="K959" s="6">
        <f t="shared" si="99"/>
        <v>0</v>
      </c>
      <c r="L959" s="9">
        <f t="shared" si="100"/>
        <v>0</v>
      </c>
    </row>
    <row r="960" spans="1:12" ht="12.75">
      <c r="A960" s="14">
        <v>39311</v>
      </c>
      <c r="B960" s="47" t="s">
        <v>37</v>
      </c>
      <c r="D960" s="49"/>
      <c r="E960" s="17"/>
      <c r="F960" s="31"/>
      <c r="G960" s="49">
        <v>-6565.68</v>
      </c>
      <c r="H960" s="32"/>
      <c r="J960" s="4">
        <f>J959+D960+E960+F960+G960+H960+I960</f>
        <v>-50742427.389499955</v>
      </c>
      <c r="K960" s="6">
        <f>DATEDIF(A960,A961,"d")</f>
        <v>0</v>
      </c>
      <c r="L960" s="9">
        <f>J960*K960*0.2/365</f>
        <v>0</v>
      </c>
    </row>
    <row r="961" spans="1:12" ht="12.75">
      <c r="A961" s="14">
        <v>39311</v>
      </c>
      <c r="B961" s="47" t="s">
        <v>37</v>
      </c>
      <c r="D961" s="49"/>
      <c r="E961" s="17"/>
      <c r="F961" s="31"/>
      <c r="G961" s="49">
        <v>-7500</v>
      </c>
      <c r="H961" s="32"/>
      <c r="J961" s="4">
        <f>J960+D961+E961+F961+G961+H961+I961</f>
        <v>-50749927.389499955</v>
      </c>
      <c r="K961" s="6">
        <f>DATEDIF(A961,A962,"d")</f>
        <v>0</v>
      </c>
      <c r="L961" s="9">
        <f>J961*K961*0.2/365</f>
        <v>0</v>
      </c>
    </row>
    <row r="962" spans="1:12" ht="12.75">
      <c r="A962" s="14">
        <v>39311</v>
      </c>
      <c r="B962" s="47" t="s">
        <v>37</v>
      </c>
      <c r="D962" s="49"/>
      <c r="E962" s="17"/>
      <c r="F962" s="31"/>
      <c r="G962" s="49">
        <v>-444.44</v>
      </c>
      <c r="H962" s="32"/>
      <c r="J962" s="4">
        <f>J961+D962+E962+F962+G962+H962+I962</f>
        <v>-50750371.82949995</v>
      </c>
      <c r="K962" s="6">
        <f>DATEDIF(A962,A963,"d")</f>
        <v>0</v>
      </c>
      <c r="L962" s="9">
        <f>J962*K962*0.2/365</f>
        <v>0</v>
      </c>
    </row>
    <row r="963" spans="1:12" ht="12.75">
      <c r="A963" s="14">
        <v>39311</v>
      </c>
      <c r="B963" s="47" t="s">
        <v>37</v>
      </c>
      <c r="D963" s="49"/>
      <c r="E963" s="17"/>
      <c r="F963" s="31"/>
      <c r="G963" s="49">
        <v>-11350</v>
      </c>
      <c r="H963" s="32"/>
      <c r="J963" s="4">
        <f aca="true" t="shared" si="101" ref="J963:J1002">J962+D963+E963+F963+G963+H963+I963</f>
        <v>-50761721.82949995</v>
      </c>
      <c r="K963" s="6">
        <f aca="true" t="shared" si="102" ref="K963:K1002">DATEDIF(A963,A964,"d")</f>
        <v>0</v>
      </c>
      <c r="L963" s="9">
        <f aca="true" t="shared" si="103" ref="L963:L1002">J963*K963*0.2/365</f>
        <v>0</v>
      </c>
    </row>
    <row r="964" spans="1:12" ht="12.75">
      <c r="A964" s="14">
        <v>39311</v>
      </c>
      <c r="B964" s="47" t="s">
        <v>37</v>
      </c>
      <c r="D964" s="49"/>
      <c r="E964" s="17"/>
      <c r="F964" s="31"/>
      <c r="G964" s="49">
        <v>-1500</v>
      </c>
      <c r="H964" s="32"/>
      <c r="J964" s="4">
        <f t="shared" si="101"/>
        <v>-50763221.82949995</v>
      </c>
      <c r="K964" s="6">
        <f t="shared" si="102"/>
        <v>0</v>
      </c>
      <c r="L964" s="9">
        <f t="shared" si="103"/>
        <v>0</v>
      </c>
    </row>
    <row r="965" spans="1:12" ht="12.75">
      <c r="A965" s="14">
        <v>39311</v>
      </c>
      <c r="B965" s="47" t="s">
        <v>37</v>
      </c>
      <c r="D965" s="49"/>
      <c r="E965" s="17"/>
      <c r="F965" s="31"/>
      <c r="G965" s="49">
        <v>-11950</v>
      </c>
      <c r="H965" s="32"/>
      <c r="J965" s="4">
        <f t="shared" si="101"/>
        <v>-50775171.82949995</v>
      </c>
      <c r="K965" s="6">
        <f t="shared" si="102"/>
        <v>0</v>
      </c>
      <c r="L965" s="9">
        <f t="shared" si="103"/>
        <v>0</v>
      </c>
    </row>
    <row r="966" spans="1:12" ht="12.75">
      <c r="A966" s="14">
        <v>39311</v>
      </c>
      <c r="B966" s="47" t="s">
        <v>37</v>
      </c>
      <c r="D966" s="49"/>
      <c r="E966" s="17"/>
      <c r="F966" s="31"/>
      <c r="G966" s="49">
        <v>-1350</v>
      </c>
      <c r="H966" s="32"/>
      <c r="J966" s="4">
        <f t="shared" si="101"/>
        <v>-50776521.82949995</v>
      </c>
      <c r="K966" s="6">
        <f t="shared" si="102"/>
        <v>0</v>
      </c>
      <c r="L966" s="9">
        <f t="shared" si="103"/>
        <v>0</v>
      </c>
    </row>
    <row r="967" spans="1:12" ht="12.75">
      <c r="A967" s="14">
        <v>39311</v>
      </c>
      <c r="B967" s="47" t="s">
        <v>37</v>
      </c>
      <c r="D967" s="49"/>
      <c r="E967" s="17"/>
      <c r="F967" s="31"/>
      <c r="G967" s="49">
        <v>-26286</v>
      </c>
      <c r="H967" s="32"/>
      <c r="J967" s="4">
        <f t="shared" si="101"/>
        <v>-50802807.82949995</v>
      </c>
      <c r="K967" s="6">
        <f t="shared" si="102"/>
        <v>0</v>
      </c>
      <c r="L967" s="9">
        <f t="shared" si="103"/>
        <v>0</v>
      </c>
    </row>
    <row r="968" spans="1:12" ht="12.75">
      <c r="A968" s="14">
        <v>39311</v>
      </c>
      <c r="B968" s="47" t="s">
        <v>37</v>
      </c>
      <c r="D968" s="49"/>
      <c r="E968" s="17"/>
      <c r="F968" s="31"/>
      <c r="G968" s="49">
        <v>-21874</v>
      </c>
      <c r="H968" s="32"/>
      <c r="J968" s="4">
        <f t="shared" si="101"/>
        <v>-50824681.82949995</v>
      </c>
      <c r="K968" s="6">
        <f t="shared" si="102"/>
        <v>0</v>
      </c>
      <c r="L968" s="9">
        <f t="shared" si="103"/>
        <v>0</v>
      </c>
    </row>
    <row r="969" spans="1:12" ht="12.75">
      <c r="A969" s="14">
        <v>39311</v>
      </c>
      <c r="B969" s="47" t="s">
        <v>37</v>
      </c>
      <c r="D969" s="49"/>
      <c r="E969" s="17"/>
      <c r="F969" s="31"/>
      <c r="G969" s="49">
        <v>-115</v>
      </c>
      <c r="H969" s="32"/>
      <c r="J969" s="4">
        <f t="shared" si="101"/>
        <v>-50824796.82949995</v>
      </c>
      <c r="K969" s="6">
        <f t="shared" si="102"/>
        <v>0</v>
      </c>
      <c r="L969" s="9">
        <f t="shared" si="103"/>
        <v>0</v>
      </c>
    </row>
    <row r="970" spans="1:12" ht="12.75">
      <c r="A970" s="14">
        <v>39311</v>
      </c>
      <c r="B970" s="47" t="s">
        <v>37</v>
      </c>
      <c r="D970" s="49"/>
      <c r="E970" s="17"/>
      <c r="F970" s="31"/>
      <c r="G970" s="49">
        <v>-8151.5</v>
      </c>
      <c r="H970" s="32"/>
      <c r="J970" s="4">
        <f t="shared" si="101"/>
        <v>-50832948.32949995</v>
      </c>
      <c r="K970" s="6">
        <f t="shared" si="102"/>
        <v>0</v>
      </c>
      <c r="L970" s="9">
        <f t="shared" si="103"/>
        <v>0</v>
      </c>
    </row>
    <row r="971" spans="1:12" ht="12.75">
      <c r="A971" s="14">
        <v>39311</v>
      </c>
      <c r="B971" s="47" t="s">
        <v>37</v>
      </c>
      <c r="D971" s="49"/>
      <c r="E971" s="17"/>
      <c r="F971" s="31"/>
      <c r="G971" s="49">
        <v>-991.11</v>
      </c>
      <c r="H971" s="32"/>
      <c r="J971" s="4">
        <f t="shared" si="101"/>
        <v>-50833939.43949995</v>
      </c>
      <c r="K971" s="6">
        <f t="shared" si="102"/>
        <v>0</v>
      </c>
      <c r="L971" s="9">
        <f t="shared" si="103"/>
        <v>0</v>
      </c>
    </row>
    <row r="972" spans="1:12" ht="12.75">
      <c r="A972" s="14">
        <v>39311</v>
      </c>
      <c r="B972" s="47" t="s">
        <v>37</v>
      </c>
      <c r="D972" s="49"/>
      <c r="E972" s="17"/>
      <c r="F972" s="31"/>
      <c r="G972" s="49">
        <v>-5652.67</v>
      </c>
      <c r="H972" s="32"/>
      <c r="J972" s="4">
        <f t="shared" si="101"/>
        <v>-50839592.10949995</v>
      </c>
      <c r="K972" s="6">
        <f t="shared" si="102"/>
        <v>0</v>
      </c>
      <c r="L972" s="9">
        <f t="shared" si="103"/>
        <v>0</v>
      </c>
    </row>
    <row r="973" spans="1:12" ht="12.75">
      <c r="A973" s="14">
        <v>39311</v>
      </c>
      <c r="B973" s="47" t="s">
        <v>37</v>
      </c>
      <c r="D973" s="49"/>
      <c r="E973" s="17"/>
      <c r="F973" s="31"/>
      <c r="G973" s="49">
        <v>-54938.5</v>
      </c>
      <c r="H973" s="32"/>
      <c r="J973" s="4">
        <f t="shared" si="101"/>
        <v>-50894530.60949995</v>
      </c>
      <c r="K973" s="6">
        <f t="shared" si="102"/>
        <v>0</v>
      </c>
      <c r="L973" s="9">
        <f t="shared" si="103"/>
        <v>0</v>
      </c>
    </row>
    <row r="974" spans="1:12" ht="12.75">
      <c r="A974" s="14">
        <v>39311</v>
      </c>
      <c r="B974" s="47" t="s">
        <v>37</v>
      </c>
      <c r="D974" s="49"/>
      <c r="E974" s="17"/>
      <c r="F974" s="31"/>
      <c r="G974" s="49">
        <v>-1852</v>
      </c>
      <c r="H974" s="32"/>
      <c r="J974" s="4">
        <f t="shared" si="101"/>
        <v>-50896382.60949995</v>
      </c>
      <c r="K974" s="6">
        <f t="shared" si="102"/>
        <v>0</v>
      </c>
      <c r="L974" s="9">
        <f t="shared" si="103"/>
        <v>0</v>
      </c>
    </row>
    <row r="975" spans="1:12" ht="12.75">
      <c r="A975" s="14">
        <v>39311</v>
      </c>
      <c r="B975" s="47" t="s">
        <v>37</v>
      </c>
      <c r="D975" s="49"/>
      <c r="E975" s="17"/>
      <c r="F975" s="31"/>
      <c r="G975" s="49">
        <v>-1600</v>
      </c>
      <c r="H975" s="32"/>
      <c r="J975" s="4">
        <f t="shared" si="101"/>
        <v>-50897982.60949995</v>
      </c>
      <c r="K975" s="6">
        <f t="shared" si="102"/>
        <v>0</v>
      </c>
      <c r="L975" s="9">
        <f t="shared" si="103"/>
        <v>0</v>
      </c>
    </row>
    <row r="976" spans="1:12" ht="12.75">
      <c r="A976" s="14">
        <v>39311</v>
      </c>
      <c r="B976" s="47" t="s">
        <v>37</v>
      </c>
      <c r="D976" s="49"/>
      <c r="E976" s="17"/>
      <c r="F976" s="31"/>
      <c r="G976" s="49">
        <v>-1942</v>
      </c>
      <c r="H976" s="32"/>
      <c r="J976" s="4">
        <f t="shared" si="101"/>
        <v>-50899924.60949995</v>
      </c>
      <c r="K976" s="6">
        <f t="shared" si="102"/>
        <v>0</v>
      </c>
      <c r="L976" s="9">
        <f t="shared" si="103"/>
        <v>0</v>
      </c>
    </row>
    <row r="977" spans="1:12" ht="12.75">
      <c r="A977" s="14">
        <v>39311</v>
      </c>
      <c r="B977" s="47" t="s">
        <v>37</v>
      </c>
      <c r="D977" s="49"/>
      <c r="E977" s="17"/>
      <c r="F977" s="31"/>
      <c r="G977" s="49">
        <v>-6825</v>
      </c>
      <c r="H977" s="32"/>
      <c r="J977" s="4">
        <f t="shared" si="101"/>
        <v>-50906749.60949995</v>
      </c>
      <c r="K977" s="6">
        <f t="shared" si="102"/>
        <v>0</v>
      </c>
      <c r="L977" s="9">
        <f t="shared" si="103"/>
        <v>0</v>
      </c>
    </row>
    <row r="978" spans="1:12" ht="12.75">
      <c r="A978" s="14">
        <v>39311</v>
      </c>
      <c r="B978" s="47" t="s">
        <v>37</v>
      </c>
      <c r="D978" s="49"/>
      <c r="E978" s="17"/>
      <c r="F978" s="31"/>
      <c r="G978" s="49">
        <v>-7500</v>
      </c>
      <c r="H978" s="32"/>
      <c r="J978" s="4">
        <f t="shared" si="101"/>
        <v>-50914249.60949995</v>
      </c>
      <c r="K978" s="6">
        <f t="shared" si="102"/>
        <v>0</v>
      </c>
      <c r="L978" s="9">
        <f t="shared" si="103"/>
        <v>0</v>
      </c>
    </row>
    <row r="979" spans="1:12" ht="12.75">
      <c r="A979" s="14">
        <v>39311</v>
      </c>
      <c r="B979" s="47" t="s">
        <v>37</v>
      </c>
      <c r="D979" s="49"/>
      <c r="E979" s="17"/>
      <c r="F979" s="31"/>
      <c r="G979" s="49">
        <v>-200</v>
      </c>
      <c r="H979" s="32"/>
      <c r="J979" s="4">
        <f t="shared" si="101"/>
        <v>-50914449.60949995</v>
      </c>
      <c r="K979" s="6">
        <f t="shared" si="102"/>
        <v>0</v>
      </c>
      <c r="L979" s="9">
        <f t="shared" si="103"/>
        <v>0</v>
      </c>
    </row>
    <row r="980" spans="1:12" ht="12.75">
      <c r="A980" s="14">
        <v>39311</v>
      </c>
      <c r="B980" s="47" t="s">
        <v>37</v>
      </c>
      <c r="D980" s="49"/>
      <c r="E980" s="17"/>
      <c r="F980" s="31"/>
      <c r="G980" s="49">
        <v>-2621.98</v>
      </c>
      <c r="H980" s="32"/>
      <c r="J980" s="4">
        <f t="shared" si="101"/>
        <v>-50917071.58949995</v>
      </c>
      <c r="K980" s="6">
        <f t="shared" si="102"/>
        <v>0</v>
      </c>
      <c r="L980" s="9">
        <f t="shared" si="103"/>
        <v>0</v>
      </c>
    </row>
    <row r="981" spans="1:12" ht="12.75">
      <c r="A981" s="14">
        <v>39311</v>
      </c>
      <c r="B981" s="47" t="s">
        <v>37</v>
      </c>
      <c r="D981" s="49"/>
      <c r="E981" s="17"/>
      <c r="F981" s="31"/>
      <c r="G981" s="49">
        <v>-31875</v>
      </c>
      <c r="H981" s="32"/>
      <c r="J981" s="4">
        <f t="shared" si="101"/>
        <v>-50948946.58949995</v>
      </c>
      <c r="K981" s="6">
        <f t="shared" si="102"/>
        <v>0</v>
      </c>
      <c r="L981" s="9">
        <f t="shared" si="103"/>
        <v>0</v>
      </c>
    </row>
    <row r="982" spans="1:12" ht="12.75">
      <c r="A982" s="14">
        <v>39311</v>
      </c>
      <c r="B982" s="47" t="s">
        <v>37</v>
      </c>
      <c r="D982" s="49"/>
      <c r="E982" s="17"/>
      <c r="F982" s="31"/>
      <c r="G982" s="49">
        <v>-32383.5</v>
      </c>
      <c r="H982" s="32"/>
      <c r="J982" s="4">
        <f t="shared" si="101"/>
        <v>-50981330.08949995</v>
      </c>
      <c r="K982" s="6">
        <f t="shared" si="102"/>
        <v>0</v>
      </c>
      <c r="L982" s="9">
        <f t="shared" si="103"/>
        <v>0</v>
      </c>
    </row>
    <row r="983" spans="1:12" ht="12.75">
      <c r="A983" s="14">
        <v>39311</v>
      </c>
      <c r="B983" s="47" t="s">
        <v>37</v>
      </c>
      <c r="D983" s="49"/>
      <c r="E983" s="17"/>
      <c r="F983" s="31"/>
      <c r="G983" s="49">
        <v>-31703.5</v>
      </c>
      <c r="H983" s="32"/>
      <c r="J983" s="4">
        <f t="shared" si="101"/>
        <v>-51013033.58949995</v>
      </c>
      <c r="K983" s="6">
        <f t="shared" si="102"/>
        <v>0</v>
      </c>
      <c r="L983" s="9">
        <f t="shared" si="103"/>
        <v>0</v>
      </c>
    </row>
    <row r="984" spans="1:12" ht="12.75">
      <c r="A984" s="14">
        <v>39311</v>
      </c>
      <c r="B984" s="47" t="s">
        <v>37</v>
      </c>
      <c r="D984" s="49"/>
      <c r="E984" s="17"/>
      <c r="F984" s="31"/>
      <c r="G984" s="49">
        <v>-420</v>
      </c>
      <c r="H984" s="32"/>
      <c r="J984" s="4">
        <f t="shared" si="101"/>
        <v>-51013453.58949995</v>
      </c>
      <c r="K984" s="6">
        <f t="shared" si="102"/>
        <v>0</v>
      </c>
      <c r="L984" s="9">
        <f t="shared" si="103"/>
        <v>0</v>
      </c>
    </row>
    <row r="985" spans="1:12" ht="12.75">
      <c r="A985" s="14">
        <v>39311</v>
      </c>
      <c r="B985" s="47" t="s">
        <v>37</v>
      </c>
      <c r="D985" s="49"/>
      <c r="E985" s="17"/>
      <c r="F985" s="31"/>
      <c r="G985" s="49">
        <v>-140</v>
      </c>
      <c r="H985" s="32"/>
      <c r="J985" s="4">
        <f t="shared" si="101"/>
        <v>-51013593.58949995</v>
      </c>
      <c r="K985" s="6">
        <f t="shared" si="102"/>
        <v>0</v>
      </c>
      <c r="L985" s="9">
        <f t="shared" si="103"/>
        <v>0</v>
      </c>
    </row>
    <row r="986" spans="1:12" ht="12.75">
      <c r="A986" s="14">
        <v>39311</v>
      </c>
      <c r="B986" s="47" t="s">
        <v>37</v>
      </c>
      <c r="D986" s="49"/>
      <c r="E986" s="17"/>
      <c r="F986" s="31"/>
      <c r="G986" s="49">
        <v>-99306</v>
      </c>
      <c r="H986" s="32"/>
      <c r="J986" s="4">
        <f t="shared" si="101"/>
        <v>-51112899.58949995</v>
      </c>
      <c r="K986" s="6">
        <f t="shared" si="102"/>
        <v>0</v>
      </c>
      <c r="L986" s="9">
        <f t="shared" si="103"/>
        <v>0</v>
      </c>
    </row>
    <row r="987" spans="1:12" ht="12.75">
      <c r="A987" s="14">
        <v>39311</v>
      </c>
      <c r="B987" s="47" t="s">
        <v>37</v>
      </c>
      <c r="D987" s="49"/>
      <c r="E987" s="17"/>
      <c r="F987" s="31"/>
      <c r="G987" s="49">
        <v>-432</v>
      </c>
      <c r="H987" s="32"/>
      <c r="J987" s="4">
        <f t="shared" si="101"/>
        <v>-51113331.58949995</v>
      </c>
      <c r="K987" s="6">
        <f t="shared" si="102"/>
        <v>0</v>
      </c>
      <c r="L987" s="9">
        <f t="shared" si="103"/>
        <v>0</v>
      </c>
    </row>
    <row r="988" spans="1:12" ht="12.75">
      <c r="A988" s="14">
        <v>39311</v>
      </c>
      <c r="B988" s="47" t="s">
        <v>37</v>
      </c>
      <c r="D988" s="49"/>
      <c r="E988" s="17"/>
      <c r="F988" s="31"/>
      <c r="G988" s="49">
        <v>-7500</v>
      </c>
      <c r="H988" s="32"/>
      <c r="J988" s="4">
        <f t="shared" si="101"/>
        <v>-51120831.58949995</v>
      </c>
      <c r="K988" s="6">
        <f t="shared" si="102"/>
        <v>0</v>
      </c>
      <c r="L988" s="9">
        <f t="shared" si="103"/>
        <v>0</v>
      </c>
    </row>
    <row r="989" spans="1:12" ht="12.75">
      <c r="A989" s="14">
        <v>39311</v>
      </c>
      <c r="B989" s="47" t="s">
        <v>37</v>
      </c>
      <c r="D989" s="49"/>
      <c r="E989" s="17"/>
      <c r="F989" s="31"/>
      <c r="G989" s="49">
        <v>-1693</v>
      </c>
      <c r="H989" s="32"/>
      <c r="J989" s="4">
        <f t="shared" si="101"/>
        <v>-51122524.58949995</v>
      </c>
      <c r="K989" s="6">
        <f t="shared" si="102"/>
        <v>0</v>
      </c>
      <c r="L989" s="9">
        <f t="shared" si="103"/>
        <v>0</v>
      </c>
    </row>
    <row r="990" spans="1:12" ht="12.75">
      <c r="A990" s="14">
        <v>39311</v>
      </c>
      <c r="B990" s="47" t="s">
        <v>37</v>
      </c>
      <c r="D990" s="49"/>
      <c r="E990" s="17"/>
      <c r="F990" s="31"/>
      <c r="G990" s="49">
        <v>-920</v>
      </c>
      <c r="H990" s="32"/>
      <c r="J990" s="4">
        <f t="shared" si="101"/>
        <v>-51123444.58949995</v>
      </c>
      <c r="K990" s="6">
        <f t="shared" si="102"/>
        <v>0</v>
      </c>
      <c r="L990" s="9">
        <f t="shared" si="103"/>
        <v>0</v>
      </c>
    </row>
    <row r="991" spans="1:12" ht="12.75">
      <c r="A991" s="14">
        <v>39311</v>
      </c>
      <c r="B991" s="47" t="s">
        <v>37</v>
      </c>
      <c r="D991" s="49"/>
      <c r="E991" s="17"/>
      <c r="F991" s="31"/>
      <c r="G991" s="49">
        <v>-1875</v>
      </c>
      <c r="H991" s="32"/>
      <c r="J991" s="4">
        <f t="shared" si="101"/>
        <v>-51125319.58949995</v>
      </c>
      <c r="K991" s="6">
        <f t="shared" si="102"/>
        <v>0</v>
      </c>
      <c r="L991" s="9">
        <f t="shared" si="103"/>
        <v>0</v>
      </c>
    </row>
    <row r="992" spans="1:12" ht="12.75">
      <c r="A992" s="14">
        <v>39311</v>
      </c>
      <c r="B992" s="47" t="s">
        <v>37</v>
      </c>
      <c r="D992" s="49"/>
      <c r="E992" s="17"/>
      <c r="F992" s="31"/>
      <c r="G992" s="49">
        <v>-84.95</v>
      </c>
      <c r="H992" s="32"/>
      <c r="J992" s="4">
        <f t="shared" si="101"/>
        <v>-51125404.53949995</v>
      </c>
      <c r="K992" s="6">
        <f t="shared" si="102"/>
        <v>0</v>
      </c>
      <c r="L992" s="9">
        <f t="shared" si="103"/>
        <v>0</v>
      </c>
    </row>
    <row r="993" spans="1:12" ht="12.75">
      <c r="A993" s="14">
        <v>39311</v>
      </c>
      <c r="B993" s="47" t="s">
        <v>37</v>
      </c>
      <c r="D993" s="49"/>
      <c r="E993" s="17"/>
      <c r="F993" s="31"/>
      <c r="G993" s="49">
        <v>-617.71</v>
      </c>
      <c r="H993" s="32"/>
      <c r="J993" s="4">
        <f t="shared" si="101"/>
        <v>-51126022.249499954</v>
      </c>
      <c r="K993" s="6">
        <f t="shared" si="102"/>
        <v>0</v>
      </c>
      <c r="L993" s="9">
        <f t="shared" si="103"/>
        <v>0</v>
      </c>
    </row>
    <row r="994" spans="1:12" ht="12.75">
      <c r="A994" s="14">
        <v>39311</v>
      </c>
      <c r="B994" s="47" t="s">
        <v>37</v>
      </c>
      <c r="D994" s="49"/>
      <c r="E994" s="17"/>
      <c r="F994" s="31"/>
      <c r="G994" s="49">
        <v>-4770.68</v>
      </c>
      <c r="H994" s="32"/>
      <c r="J994" s="4">
        <f t="shared" si="101"/>
        <v>-51130792.929499954</v>
      </c>
      <c r="K994" s="6">
        <f t="shared" si="102"/>
        <v>0</v>
      </c>
      <c r="L994" s="9">
        <f t="shared" si="103"/>
        <v>0</v>
      </c>
    </row>
    <row r="995" spans="1:12" ht="12.75">
      <c r="A995" s="14">
        <v>39311</v>
      </c>
      <c r="B995" s="47" t="s">
        <v>37</v>
      </c>
      <c r="D995" s="49"/>
      <c r="E995" s="17"/>
      <c r="F995" s="31"/>
      <c r="G995" s="49">
        <v>-5587.98</v>
      </c>
      <c r="H995" s="32"/>
      <c r="J995" s="4">
        <f t="shared" si="101"/>
        <v>-51136380.90949995</v>
      </c>
      <c r="K995" s="6">
        <f t="shared" si="102"/>
        <v>0</v>
      </c>
      <c r="L995" s="9">
        <f t="shared" si="103"/>
        <v>0</v>
      </c>
    </row>
    <row r="996" spans="1:12" ht="12.75">
      <c r="A996" s="14">
        <v>39311</v>
      </c>
      <c r="B996" s="47" t="s">
        <v>37</v>
      </c>
      <c r="D996" s="49"/>
      <c r="E996" s="17"/>
      <c r="F996" s="31"/>
      <c r="G996" s="49">
        <v>-15143.69</v>
      </c>
      <c r="H996" s="32"/>
      <c r="J996" s="4">
        <f t="shared" si="101"/>
        <v>-51151524.59949995</v>
      </c>
      <c r="K996" s="6">
        <f t="shared" si="102"/>
        <v>0</v>
      </c>
      <c r="L996" s="9">
        <f t="shared" si="103"/>
        <v>0</v>
      </c>
    </row>
    <row r="997" spans="1:12" ht="12.75">
      <c r="A997" s="14">
        <v>39311</v>
      </c>
      <c r="B997" s="47" t="s">
        <v>37</v>
      </c>
      <c r="D997" s="49"/>
      <c r="E997" s="17"/>
      <c r="F997" s="31"/>
      <c r="G997" s="49">
        <v>-19121.8</v>
      </c>
      <c r="H997" s="32"/>
      <c r="J997" s="4">
        <f t="shared" si="101"/>
        <v>-51170646.399499945</v>
      </c>
      <c r="K997" s="6">
        <f t="shared" si="102"/>
        <v>0</v>
      </c>
      <c r="L997" s="9">
        <f t="shared" si="103"/>
        <v>0</v>
      </c>
    </row>
    <row r="998" spans="1:12" ht="12.75">
      <c r="A998" s="14">
        <v>39311</v>
      </c>
      <c r="B998" s="47" t="s">
        <v>37</v>
      </c>
      <c r="D998" s="49"/>
      <c r="E998" s="17"/>
      <c r="F998" s="31"/>
      <c r="G998" s="49">
        <v>-29323.36</v>
      </c>
      <c r="H998" s="32"/>
      <c r="J998" s="4">
        <f t="shared" si="101"/>
        <v>-51199969.759499945</v>
      </c>
      <c r="K998" s="6">
        <f t="shared" si="102"/>
        <v>0</v>
      </c>
      <c r="L998" s="9">
        <f t="shared" si="103"/>
        <v>0</v>
      </c>
    </row>
    <row r="999" spans="1:12" ht="12.75">
      <c r="A999" s="14">
        <v>39311</v>
      </c>
      <c r="B999" s="47" t="s">
        <v>37</v>
      </c>
      <c r="D999" s="49"/>
      <c r="E999" s="17"/>
      <c r="F999" s="31"/>
      <c r="G999" s="49">
        <v>-4610</v>
      </c>
      <c r="H999" s="32"/>
      <c r="J999" s="4">
        <f t="shared" si="101"/>
        <v>-51204579.759499945</v>
      </c>
      <c r="K999" s="6">
        <f t="shared" si="102"/>
        <v>0</v>
      </c>
      <c r="L999" s="9">
        <f t="shared" si="103"/>
        <v>0</v>
      </c>
    </row>
    <row r="1000" spans="1:12" ht="12.75">
      <c r="A1000" s="14">
        <v>39311</v>
      </c>
      <c r="B1000" s="47" t="s">
        <v>37</v>
      </c>
      <c r="D1000" s="49"/>
      <c r="E1000" s="17"/>
      <c r="F1000" s="31"/>
      <c r="G1000" s="49">
        <v>-21723.28</v>
      </c>
      <c r="H1000" s="32"/>
      <c r="J1000" s="4">
        <f t="shared" si="101"/>
        <v>-51226303.039499946</v>
      </c>
      <c r="K1000" s="6">
        <f t="shared" si="102"/>
        <v>0</v>
      </c>
      <c r="L1000" s="9">
        <f t="shared" si="103"/>
        <v>0</v>
      </c>
    </row>
    <row r="1001" spans="1:12" ht="12.75">
      <c r="A1001" s="14">
        <v>39311</v>
      </c>
      <c r="B1001" s="47" t="s">
        <v>90</v>
      </c>
      <c r="D1001" s="49"/>
      <c r="E1001" s="17"/>
      <c r="F1001" s="31"/>
      <c r="G1001" s="49">
        <v>-113558.16</v>
      </c>
      <c r="H1001" s="32"/>
      <c r="J1001" s="4">
        <f t="shared" si="101"/>
        <v>-51339861.19949994</v>
      </c>
      <c r="K1001" s="6">
        <f t="shared" si="102"/>
        <v>0</v>
      </c>
      <c r="L1001" s="9">
        <f t="shared" si="103"/>
        <v>0</v>
      </c>
    </row>
    <row r="1002" spans="1:12" ht="12.75">
      <c r="A1002" s="14">
        <v>39311</v>
      </c>
      <c r="B1002" s="47" t="s">
        <v>90</v>
      </c>
      <c r="D1002" s="49"/>
      <c r="E1002" s="17"/>
      <c r="F1002" s="31"/>
      <c r="G1002" s="49">
        <v>-45796.01</v>
      </c>
      <c r="H1002" s="32"/>
      <c r="J1002" s="4">
        <f t="shared" si="101"/>
        <v>-51385657.20949994</v>
      </c>
      <c r="K1002" s="6">
        <f t="shared" si="102"/>
        <v>0</v>
      </c>
      <c r="L1002" s="9">
        <f t="shared" si="103"/>
        <v>0</v>
      </c>
    </row>
    <row r="1003" spans="1:12" ht="12.75">
      <c r="A1003" s="14">
        <v>39311</v>
      </c>
      <c r="B1003" s="47" t="s">
        <v>90</v>
      </c>
      <c r="D1003" s="49"/>
      <c r="E1003" s="17"/>
      <c r="F1003" s="31"/>
      <c r="G1003" s="49">
        <v>-61880.15</v>
      </c>
      <c r="H1003" s="32"/>
      <c r="J1003" s="4">
        <f aca="true" t="shared" si="104" ref="J1003:J1016">J1002+D1003+E1003+F1003+G1003+H1003+I1003</f>
        <v>-51447537.35949994</v>
      </c>
      <c r="K1003" s="6">
        <f aca="true" t="shared" si="105" ref="K1003:K1016">DATEDIF(A1003,A1004,"d")</f>
        <v>0</v>
      </c>
      <c r="L1003" s="9">
        <f aca="true" t="shared" si="106" ref="L1003:L1016">J1003*K1003*0.2/365</f>
        <v>0</v>
      </c>
    </row>
    <row r="1004" spans="1:12" ht="12.75">
      <c r="A1004" s="14">
        <v>39311</v>
      </c>
      <c r="B1004" s="47" t="s">
        <v>90</v>
      </c>
      <c r="D1004" s="49"/>
      <c r="E1004" s="17"/>
      <c r="F1004" s="31"/>
      <c r="G1004" s="49">
        <v>-7168.71</v>
      </c>
      <c r="H1004" s="32"/>
      <c r="J1004" s="4">
        <f t="shared" si="104"/>
        <v>-51454706.06949994</v>
      </c>
      <c r="K1004" s="6">
        <f t="shared" si="105"/>
        <v>0</v>
      </c>
      <c r="L1004" s="9">
        <f t="shared" si="106"/>
        <v>0</v>
      </c>
    </row>
    <row r="1005" spans="1:12" ht="12.75">
      <c r="A1005" s="14">
        <v>39311</v>
      </c>
      <c r="B1005" s="47" t="s">
        <v>37</v>
      </c>
      <c r="D1005" s="49"/>
      <c r="E1005" s="17"/>
      <c r="F1005" s="31"/>
      <c r="G1005" s="49">
        <v>-19731.04</v>
      </c>
      <c r="H1005" s="32"/>
      <c r="J1005" s="4">
        <f t="shared" si="104"/>
        <v>-51474437.10949994</v>
      </c>
      <c r="K1005" s="6">
        <f t="shared" si="105"/>
        <v>0</v>
      </c>
      <c r="L1005" s="9">
        <f t="shared" si="106"/>
        <v>0</v>
      </c>
    </row>
    <row r="1006" spans="1:12" ht="12.75">
      <c r="A1006" s="14">
        <v>39311</v>
      </c>
      <c r="B1006" s="47" t="s">
        <v>37</v>
      </c>
      <c r="D1006" s="49"/>
      <c r="E1006" s="17"/>
      <c r="F1006" s="31"/>
      <c r="G1006" s="49">
        <v>-27169.99</v>
      </c>
      <c r="H1006" s="32"/>
      <c r="J1006" s="4">
        <f t="shared" si="104"/>
        <v>-51501607.09949994</v>
      </c>
      <c r="K1006" s="6">
        <f t="shared" si="105"/>
        <v>0</v>
      </c>
      <c r="L1006" s="9">
        <f t="shared" si="106"/>
        <v>0</v>
      </c>
    </row>
    <row r="1007" spans="1:12" ht="12.75">
      <c r="A1007" s="14">
        <v>39311</v>
      </c>
      <c r="B1007" s="47" t="s">
        <v>37</v>
      </c>
      <c r="D1007" s="49"/>
      <c r="E1007" s="17"/>
      <c r="F1007" s="31"/>
      <c r="G1007" s="49">
        <v>-14138.61</v>
      </c>
      <c r="H1007" s="32"/>
      <c r="J1007" s="4">
        <f t="shared" si="104"/>
        <v>-51515745.70949994</v>
      </c>
      <c r="K1007" s="6">
        <f t="shared" si="105"/>
        <v>0</v>
      </c>
      <c r="L1007" s="9">
        <f t="shared" si="106"/>
        <v>0</v>
      </c>
    </row>
    <row r="1008" spans="1:12" ht="12.75">
      <c r="A1008" s="14">
        <v>39311</v>
      </c>
      <c r="B1008" s="47" t="s">
        <v>37</v>
      </c>
      <c r="D1008" s="49"/>
      <c r="E1008" s="17"/>
      <c r="F1008" s="31"/>
      <c r="G1008" s="49">
        <v>-7978.64</v>
      </c>
      <c r="H1008" s="32"/>
      <c r="J1008" s="4">
        <f t="shared" si="104"/>
        <v>-51523724.34949994</v>
      </c>
      <c r="K1008" s="6">
        <f t="shared" si="105"/>
        <v>0</v>
      </c>
      <c r="L1008" s="9">
        <f t="shared" si="106"/>
        <v>0</v>
      </c>
    </row>
    <row r="1009" spans="1:12" ht="12.75">
      <c r="A1009" s="14">
        <v>39311</v>
      </c>
      <c r="B1009" s="47" t="s">
        <v>37</v>
      </c>
      <c r="D1009" s="49"/>
      <c r="E1009" s="17"/>
      <c r="F1009" s="31"/>
      <c r="G1009" s="49">
        <v>-32840.87</v>
      </c>
      <c r="H1009" s="32"/>
      <c r="J1009" s="4">
        <f t="shared" si="104"/>
        <v>-51556565.21949994</v>
      </c>
      <c r="K1009" s="6">
        <f t="shared" si="105"/>
        <v>0</v>
      </c>
      <c r="L1009" s="9">
        <f t="shared" si="106"/>
        <v>0</v>
      </c>
    </row>
    <row r="1010" spans="1:12" ht="12.75">
      <c r="A1010" s="14">
        <v>39311</v>
      </c>
      <c r="B1010" s="47" t="s">
        <v>37</v>
      </c>
      <c r="D1010" s="49"/>
      <c r="E1010" s="17"/>
      <c r="F1010" s="31"/>
      <c r="G1010" s="49">
        <v>-5625</v>
      </c>
      <c r="H1010" s="32"/>
      <c r="J1010" s="4">
        <f t="shared" si="104"/>
        <v>-51562190.21949994</v>
      </c>
      <c r="K1010" s="6">
        <f t="shared" si="105"/>
        <v>0</v>
      </c>
      <c r="L1010" s="9">
        <f t="shared" si="106"/>
        <v>0</v>
      </c>
    </row>
    <row r="1011" spans="1:12" ht="12.75">
      <c r="A1011" s="14">
        <v>39311</v>
      </c>
      <c r="B1011" s="47" t="s">
        <v>37</v>
      </c>
      <c r="D1011" s="49"/>
      <c r="E1011" s="17"/>
      <c r="F1011" s="31"/>
      <c r="G1011" s="49">
        <v>-2260</v>
      </c>
      <c r="H1011" s="32"/>
      <c r="J1011" s="4">
        <f t="shared" si="104"/>
        <v>-51564450.21949994</v>
      </c>
      <c r="K1011" s="6">
        <f t="shared" si="105"/>
        <v>0</v>
      </c>
      <c r="L1011" s="9">
        <f t="shared" si="106"/>
        <v>0</v>
      </c>
    </row>
    <row r="1012" spans="1:12" ht="12.75">
      <c r="A1012" s="14">
        <v>39311</v>
      </c>
      <c r="B1012" s="47" t="s">
        <v>37</v>
      </c>
      <c r="D1012" s="49"/>
      <c r="E1012" s="17"/>
      <c r="F1012" s="31"/>
      <c r="G1012" s="49">
        <v>-5587.84</v>
      </c>
      <c r="H1012" s="32"/>
      <c r="J1012" s="4">
        <f t="shared" si="104"/>
        <v>-51570038.05949994</v>
      </c>
      <c r="K1012" s="6">
        <f t="shared" si="105"/>
        <v>0</v>
      </c>
      <c r="L1012" s="9">
        <f t="shared" si="106"/>
        <v>0</v>
      </c>
    </row>
    <row r="1013" spans="1:12" ht="12.75">
      <c r="A1013" s="14">
        <v>39311</v>
      </c>
      <c r="B1013" s="47" t="s">
        <v>90</v>
      </c>
      <c r="D1013" s="49"/>
      <c r="E1013" s="17"/>
      <c r="F1013" s="31"/>
      <c r="G1013" s="49">
        <v>-76957.2</v>
      </c>
      <c r="H1013" s="32"/>
      <c r="J1013" s="4">
        <f t="shared" si="104"/>
        <v>-51646995.259499945</v>
      </c>
      <c r="K1013" s="6">
        <f t="shared" si="105"/>
        <v>0</v>
      </c>
      <c r="L1013" s="9">
        <f t="shared" si="106"/>
        <v>0</v>
      </c>
    </row>
    <row r="1014" spans="1:12" ht="12.75">
      <c r="A1014" s="14">
        <v>39311</v>
      </c>
      <c r="B1014" s="47" t="s">
        <v>90</v>
      </c>
      <c r="D1014" s="49"/>
      <c r="E1014" s="17"/>
      <c r="F1014" s="31"/>
      <c r="G1014" s="49">
        <v>-1299.3</v>
      </c>
      <c r="H1014" s="32"/>
      <c r="J1014" s="4">
        <f t="shared" si="104"/>
        <v>-51648294.55949994</v>
      </c>
      <c r="K1014" s="6">
        <f t="shared" si="105"/>
        <v>0</v>
      </c>
      <c r="L1014" s="9">
        <f t="shared" si="106"/>
        <v>0</v>
      </c>
    </row>
    <row r="1015" spans="1:12" ht="12.75">
      <c r="A1015" s="14">
        <v>39311</v>
      </c>
      <c r="B1015" s="47" t="s">
        <v>90</v>
      </c>
      <c r="D1015" s="49"/>
      <c r="E1015" s="17"/>
      <c r="F1015" s="31"/>
      <c r="G1015" s="49">
        <v>-2595.93</v>
      </c>
      <c r="H1015" s="32"/>
      <c r="J1015" s="4">
        <f t="shared" si="104"/>
        <v>-51650890.48949994</v>
      </c>
      <c r="K1015" s="6">
        <f t="shared" si="105"/>
        <v>0</v>
      </c>
      <c r="L1015" s="9">
        <f t="shared" si="106"/>
        <v>0</v>
      </c>
    </row>
    <row r="1016" spans="1:12" ht="12.75">
      <c r="A1016" s="14">
        <v>39311</v>
      </c>
      <c r="B1016" s="47" t="s">
        <v>90</v>
      </c>
      <c r="D1016" s="49"/>
      <c r="E1016" s="17"/>
      <c r="F1016" s="31"/>
      <c r="G1016" s="49">
        <v>-910.33</v>
      </c>
      <c r="H1016" s="32"/>
      <c r="J1016" s="4">
        <f t="shared" si="104"/>
        <v>-51651800.81949994</v>
      </c>
      <c r="K1016" s="6">
        <f t="shared" si="105"/>
        <v>0</v>
      </c>
      <c r="L1016" s="9">
        <f t="shared" si="106"/>
        <v>0</v>
      </c>
    </row>
    <row r="1017" spans="1:12" ht="12.75">
      <c r="A1017" s="14">
        <v>39311</v>
      </c>
      <c r="B1017" s="47" t="s">
        <v>90</v>
      </c>
      <c r="D1017" s="49"/>
      <c r="E1017" s="17"/>
      <c r="F1017" s="31"/>
      <c r="G1017" s="49">
        <v>-109228.34</v>
      </c>
      <c r="H1017" s="32"/>
      <c r="J1017" s="4">
        <f aca="true" t="shared" si="107" ref="J1017:J1047">J1016+D1017+E1017+F1017+G1017+H1017+I1017</f>
        <v>-51761029.15949994</v>
      </c>
      <c r="K1017" s="6">
        <f aca="true" t="shared" si="108" ref="K1017:K1047">DATEDIF(A1017,A1018,"d")</f>
        <v>0</v>
      </c>
      <c r="L1017" s="9">
        <f aca="true" t="shared" si="109" ref="L1017:L1047">J1017*K1017*0.2/365</f>
        <v>0</v>
      </c>
    </row>
    <row r="1018" spans="1:12" ht="12.75">
      <c r="A1018" s="14">
        <v>39311</v>
      </c>
      <c r="B1018" s="47" t="s">
        <v>90</v>
      </c>
      <c r="D1018" s="49"/>
      <c r="E1018" s="17"/>
      <c r="F1018" s="31"/>
      <c r="G1018" s="49">
        <v>-61683.6</v>
      </c>
      <c r="H1018" s="32"/>
      <c r="J1018" s="4">
        <f t="shared" si="107"/>
        <v>-51822712.759499945</v>
      </c>
      <c r="K1018" s="6">
        <f t="shared" si="108"/>
        <v>0</v>
      </c>
      <c r="L1018" s="9">
        <f t="shared" si="109"/>
        <v>0</v>
      </c>
    </row>
    <row r="1019" spans="1:12" ht="12.75">
      <c r="A1019" s="14">
        <v>39311</v>
      </c>
      <c r="B1019" s="47" t="s">
        <v>90</v>
      </c>
      <c r="D1019" s="49"/>
      <c r="E1019" s="17"/>
      <c r="F1019" s="31"/>
      <c r="G1019" s="49">
        <v>-2351.47</v>
      </c>
      <c r="H1019" s="32"/>
      <c r="J1019" s="4">
        <f t="shared" si="107"/>
        <v>-51825064.22949994</v>
      </c>
      <c r="K1019" s="6">
        <f t="shared" si="108"/>
        <v>0</v>
      </c>
      <c r="L1019" s="9">
        <f t="shared" si="109"/>
        <v>0</v>
      </c>
    </row>
    <row r="1020" spans="1:12" ht="12.75">
      <c r="A1020" s="14">
        <v>39311</v>
      </c>
      <c r="B1020" s="47" t="s">
        <v>90</v>
      </c>
      <c r="D1020" s="49"/>
      <c r="E1020" s="17"/>
      <c r="F1020" s="31"/>
      <c r="G1020" s="49">
        <v>-817.91</v>
      </c>
      <c r="H1020" s="32"/>
      <c r="J1020" s="4">
        <f t="shared" si="107"/>
        <v>-51825882.13949994</v>
      </c>
      <c r="K1020" s="6">
        <f t="shared" si="108"/>
        <v>0</v>
      </c>
      <c r="L1020" s="9">
        <f t="shared" si="109"/>
        <v>0</v>
      </c>
    </row>
    <row r="1021" spans="1:12" ht="12.75">
      <c r="A1021" s="14">
        <v>39311</v>
      </c>
      <c r="B1021" s="47" t="s">
        <v>90</v>
      </c>
      <c r="D1021" s="49"/>
      <c r="E1021" s="17"/>
      <c r="F1021" s="31"/>
      <c r="G1021" s="49">
        <v>-5644.85</v>
      </c>
      <c r="H1021" s="32"/>
      <c r="J1021" s="4">
        <f t="shared" si="107"/>
        <v>-51831526.98949994</v>
      </c>
      <c r="K1021" s="6">
        <f t="shared" si="108"/>
        <v>0</v>
      </c>
      <c r="L1021" s="9">
        <f t="shared" si="109"/>
        <v>0</v>
      </c>
    </row>
    <row r="1022" spans="1:12" ht="12.75">
      <c r="A1022" s="14">
        <v>39311</v>
      </c>
      <c r="B1022" s="47" t="s">
        <v>90</v>
      </c>
      <c r="D1022" s="49"/>
      <c r="E1022" s="17"/>
      <c r="F1022" s="31"/>
      <c r="G1022" s="49">
        <v>-60009.33</v>
      </c>
      <c r="H1022" s="32"/>
      <c r="J1022" s="4">
        <f t="shared" si="107"/>
        <v>-51891536.31949994</v>
      </c>
      <c r="K1022" s="6">
        <f t="shared" si="108"/>
        <v>0</v>
      </c>
      <c r="L1022" s="9">
        <f t="shared" si="109"/>
        <v>0</v>
      </c>
    </row>
    <row r="1023" spans="1:12" ht="12.75">
      <c r="A1023" s="14">
        <v>39311</v>
      </c>
      <c r="B1023" s="47" t="s">
        <v>90</v>
      </c>
      <c r="D1023" s="49"/>
      <c r="E1023" s="17"/>
      <c r="F1023" s="31"/>
      <c r="G1023" s="49">
        <v>-48906.79</v>
      </c>
      <c r="H1023" s="32"/>
      <c r="J1023" s="4">
        <f t="shared" si="107"/>
        <v>-51940443.10949994</v>
      </c>
      <c r="K1023" s="6">
        <f t="shared" si="108"/>
        <v>0</v>
      </c>
      <c r="L1023" s="9">
        <f t="shared" si="109"/>
        <v>0</v>
      </c>
    </row>
    <row r="1024" spans="1:12" ht="12.75">
      <c r="A1024" s="14">
        <v>39311</v>
      </c>
      <c r="B1024" s="47" t="s">
        <v>90</v>
      </c>
      <c r="D1024" s="49"/>
      <c r="E1024" s="17"/>
      <c r="F1024" s="31"/>
      <c r="G1024" s="49">
        <v>-6595.49</v>
      </c>
      <c r="H1024" s="32"/>
      <c r="J1024" s="4">
        <f t="shared" si="107"/>
        <v>-51947038.59949994</v>
      </c>
      <c r="K1024" s="6">
        <f t="shared" si="108"/>
        <v>0</v>
      </c>
      <c r="L1024" s="9">
        <f t="shared" si="109"/>
        <v>0</v>
      </c>
    </row>
    <row r="1025" spans="1:12" ht="12.75">
      <c r="A1025" s="14">
        <v>39311</v>
      </c>
      <c r="B1025" s="47" t="s">
        <v>90</v>
      </c>
      <c r="D1025" s="49"/>
      <c r="E1025" s="17"/>
      <c r="F1025" s="31"/>
      <c r="G1025" s="49">
        <v>-2267.03</v>
      </c>
      <c r="H1025" s="32"/>
      <c r="J1025" s="4">
        <f t="shared" si="107"/>
        <v>-51949305.62949994</v>
      </c>
      <c r="K1025" s="6">
        <f t="shared" si="108"/>
        <v>0</v>
      </c>
      <c r="L1025" s="9">
        <f t="shared" si="109"/>
        <v>0</v>
      </c>
    </row>
    <row r="1026" spans="1:12" ht="12.75">
      <c r="A1026" s="14">
        <v>39311</v>
      </c>
      <c r="B1026" s="47" t="s">
        <v>90</v>
      </c>
      <c r="D1026" s="49"/>
      <c r="E1026" s="17"/>
      <c r="F1026" s="31"/>
      <c r="G1026" s="49">
        <v>-117252.31</v>
      </c>
      <c r="H1026" s="32"/>
      <c r="J1026" s="4">
        <f t="shared" si="107"/>
        <v>-52066557.939499944</v>
      </c>
      <c r="K1026" s="6">
        <f t="shared" si="108"/>
        <v>0</v>
      </c>
      <c r="L1026" s="9">
        <f t="shared" si="109"/>
        <v>0</v>
      </c>
    </row>
    <row r="1027" spans="1:12" ht="12.75">
      <c r="A1027" s="14">
        <v>39311</v>
      </c>
      <c r="B1027" s="47" t="s">
        <v>37</v>
      </c>
      <c r="D1027" s="49"/>
      <c r="E1027" s="17"/>
      <c r="F1027" s="31"/>
      <c r="G1027" s="49">
        <v>-15594</v>
      </c>
      <c r="H1027" s="32"/>
      <c r="J1027" s="4">
        <f t="shared" si="107"/>
        <v>-52082151.939499944</v>
      </c>
      <c r="K1027" s="6">
        <f t="shared" si="108"/>
        <v>0</v>
      </c>
      <c r="L1027" s="9">
        <f t="shared" si="109"/>
        <v>0</v>
      </c>
    </row>
    <row r="1028" spans="1:12" ht="12.75">
      <c r="A1028" s="14">
        <v>39311</v>
      </c>
      <c r="B1028" s="47" t="s">
        <v>90</v>
      </c>
      <c r="D1028" s="49"/>
      <c r="E1028" s="17"/>
      <c r="F1028" s="31"/>
      <c r="G1028" s="49">
        <v>-6433.29</v>
      </c>
      <c r="H1028" s="32"/>
      <c r="J1028" s="4">
        <f t="shared" si="107"/>
        <v>-52088585.22949994</v>
      </c>
      <c r="K1028" s="6">
        <f t="shared" si="108"/>
        <v>3</v>
      </c>
      <c r="L1028" s="9">
        <f t="shared" si="109"/>
        <v>-85625.0716101369</v>
      </c>
    </row>
    <row r="1029" spans="1:12" ht="12.75">
      <c r="A1029" s="14">
        <v>39314</v>
      </c>
      <c r="B1029" s="47" t="s">
        <v>216</v>
      </c>
      <c r="D1029" s="49">
        <v>-300000</v>
      </c>
      <c r="E1029" s="17"/>
      <c r="F1029" s="31"/>
      <c r="G1029" s="49"/>
      <c r="H1029" s="32"/>
      <c r="J1029" s="4">
        <f t="shared" si="107"/>
        <v>-52388585.22949994</v>
      </c>
      <c r="K1029" s="6">
        <f t="shared" si="108"/>
        <v>1</v>
      </c>
      <c r="L1029" s="9">
        <f t="shared" si="109"/>
        <v>-28706.074098356134</v>
      </c>
    </row>
    <row r="1030" spans="1:12" ht="12.75">
      <c r="A1030" s="14">
        <v>39315</v>
      </c>
      <c r="B1030" s="47" t="s">
        <v>20</v>
      </c>
      <c r="D1030" s="49">
        <v>-1007000</v>
      </c>
      <c r="E1030" s="17"/>
      <c r="F1030" s="31"/>
      <c r="G1030" s="49"/>
      <c r="H1030" s="32"/>
      <c r="J1030" s="4">
        <f t="shared" si="107"/>
        <v>-53395585.22949994</v>
      </c>
      <c r="K1030" s="6">
        <f t="shared" si="108"/>
        <v>0</v>
      </c>
      <c r="L1030" s="9">
        <f t="shared" si="109"/>
        <v>0</v>
      </c>
    </row>
    <row r="1031" spans="1:12" ht="12.75">
      <c r="A1031" s="14">
        <v>39315</v>
      </c>
      <c r="B1031" s="47" t="s">
        <v>21</v>
      </c>
      <c r="D1031" s="49">
        <v>-105000</v>
      </c>
      <c r="E1031" s="17"/>
      <c r="F1031" s="31"/>
      <c r="G1031" s="49"/>
      <c r="H1031" s="32"/>
      <c r="J1031" s="4">
        <f aca="true" t="shared" si="110" ref="J1031:J1044">J1030+D1031+E1031+F1031+G1031+H1031+I1031</f>
        <v>-53500585.22949994</v>
      </c>
      <c r="K1031" s="6">
        <f aca="true" t="shared" si="111" ref="K1031:K1044">DATEDIF(A1031,A1032,"d")</f>
        <v>0</v>
      </c>
      <c r="L1031" s="9">
        <f aca="true" t="shared" si="112" ref="L1031:L1044">J1031*K1031*0.2/365</f>
        <v>0</v>
      </c>
    </row>
    <row r="1032" spans="1:12" ht="12.75">
      <c r="A1032" s="14">
        <v>39315</v>
      </c>
      <c r="B1032" s="47" t="s">
        <v>28</v>
      </c>
      <c r="D1032" s="49">
        <v>-210000</v>
      </c>
      <c r="E1032" s="17"/>
      <c r="F1032" s="31"/>
      <c r="G1032" s="49"/>
      <c r="H1032" s="32"/>
      <c r="J1032" s="4">
        <f t="shared" si="110"/>
        <v>-53710585.22949994</v>
      </c>
      <c r="K1032" s="6">
        <f t="shared" si="111"/>
        <v>0</v>
      </c>
      <c r="L1032" s="9">
        <f t="shared" si="112"/>
        <v>0</v>
      </c>
    </row>
    <row r="1033" spans="1:12" ht="12.75">
      <c r="A1033" s="14">
        <v>39315</v>
      </c>
      <c r="B1033" s="47" t="s">
        <v>216</v>
      </c>
      <c r="D1033" s="49">
        <v>-400000</v>
      </c>
      <c r="E1033" s="17"/>
      <c r="F1033" s="31"/>
      <c r="G1033" s="49"/>
      <c r="H1033" s="32"/>
      <c r="J1033" s="4">
        <f t="shared" si="110"/>
        <v>-54110585.22949994</v>
      </c>
      <c r="K1033" s="6">
        <f t="shared" si="111"/>
        <v>1</v>
      </c>
      <c r="L1033" s="9">
        <f t="shared" si="112"/>
        <v>-29649.63574219175</v>
      </c>
    </row>
    <row r="1034" spans="1:12" ht="12.75">
      <c r="A1034" s="14">
        <v>39316</v>
      </c>
      <c r="B1034" s="47" t="s">
        <v>194</v>
      </c>
      <c r="D1034" s="49">
        <v>-200000</v>
      </c>
      <c r="E1034" s="17"/>
      <c r="F1034" s="31"/>
      <c r="G1034" s="49"/>
      <c r="H1034" s="32"/>
      <c r="J1034" s="4">
        <f t="shared" si="110"/>
        <v>-54310585.22949994</v>
      </c>
      <c r="K1034" s="6">
        <f t="shared" si="111"/>
        <v>0</v>
      </c>
      <c r="L1034" s="9">
        <f t="shared" si="112"/>
        <v>0</v>
      </c>
    </row>
    <row r="1035" spans="1:12" ht="12.75">
      <c r="A1035" s="14">
        <v>39316</v>
      </c>
      <c r="B1035" s="47" t="s">
        <v>216</v>
      </c>
      <c r="D1035" s="49">
        <v>-300000</v>
      </c>
      <c r="E1035" s="17"/>
      <c r="F1035" s="31"/>
      <c r="G1035" s="49"/>
      <c r="H1035" s="32"/>
      <c r="J1035" s="4">
        <f t="shared" si="110"/>
        <v>-54610585.22949994</v>
      </c>
      <c r="K1035" s="6">
        <f t="shared" si="111"/>
        <v>0</v>
      </c>
      <c r="L1035" s="9">
        <f t="shared" si="112"/>
        <v>0</v>
      </c>
    </row>
    <row r="1036" spans="1:12" ht="12.75">
      <c r="A1036" s="14">
        <v>39316</v>
      </c>
      <c r="B1036" s="30" t="s">
        <v>235</v>
      </c>
      <c r="C1036" s="29">
        <f>351168.25*0.8</f>
        <v>280934.60000000003</v>
      </c>
      <c r="D1036" s="71"/>
      <c r="E1036" s="32"/>
      <c r="F1036" s="31"/>
      <c r="G1036" s="31"/>
      <c r="H1036" s="32"/>
      <c r="J1036" s="4">
        <f t="shared" si="110"/>
        <v>-54610585.22949994</v>
      </c>
      <c r="K1036" s="6">
        <f t="shared" si="111"/>
        <v>0</v>
      </c>
      <c r="L1036" s="9">
        <f t="shared" si="112"/>
        <v>0</v>
      </c>
    </row>
    <row r="1037" spans="1:12" ht="12.75">
      <c r="A1037" s="14">
        <v>39316</v>
      </c>
      <c r="B1037" s="13" t="s">
        <v>32</v>
      </c>
      <c r="C1037" s="17">
        <f>-C1036</f>
        <v>-280934.60000000003</v>
      </c>
      <c r="D1037" s="46"/>
      <c r="E1037" s="17"/>
      <c r="F1037" s="31"/>
      <c r="G1037" s="31"/>
      <c r="H1037" s="32">
        <f>-C1037</f>
        <v>280934.60000000003</v>
      </c>
      <c r="J1037" s="4">
        <f t="shared" si="110"/>
        <v>-54329650.62949994</v>
      </c>
      <c r="K1037" s="6">
        <f t="shared" si="111"/>
        <v>0</v>
      </c>
      <c r="L1037" s="9">
        <f t="shared" si="112"/>
        <v>0</v>
      </c>
    </row>
    <row r="1038" spans="1:12" ht="12.75">
      <c r="A1038" s="14">
        <v>39316</v>
      </c>
      <c r="B1038" s="30" t="s">
        <v>236</v>
      </c>
      <c r="C1038" s="29">
        <f>445349.7*0.8</f>
        <v>356279.76</v>
      </c>
      <c r="D1038" s="71"/>
      <c r="E1038" s="32"/>
      <c r="F1038" s="31"/>
      <c r="G1038" s="31"/>
      <c r="H1038" s="32"/>
      <c r="J1038" s="4">
        <f t="shared" si="110"/>
        <v>-54329650.62949994</v>
      </c>
      <c r="K1038" s="6">
        <f t="shared" si="111"/>
        <v>0</v>
      </c>
      <c r="L1038" s="9">
        <f t="shared" si="112"/>
        <v>0</v>
      </c>
    </row>
    <row r="1039" spans="1:12" ht="12.75">
      <c r="A1039" s="14">
        <v>39316</v>
      </c>
      <c r="B1039" s="13" t="s">
        <v>32</v>
      </c>
      <c r="C1039" s="17">
        <f>-C1038</f>
        <v>-356279.76</v>
      </c>
      <c r="D1039" s="46"/>
      <c r="E1039" s="17"/>
      <c r="F1039" s="31"/>
      <c r="G1039" s="31"/>
      <c r="H1039" s="32">
        <f>-C1039</f>
        <v>356279.76</v>
      </c>
      <c r="J1039" s="4">
        <f t="shared" si="110"/>
        <v>-53973370.869499944</v>
      </c>
      <c r="K1039" s="6">
        <f t="shared" si="111"/>
        <v>0</v>
      </c>
      <c r="L1039" s="9">
        <f t="shared" si="112"/>
        <v>0</v>
      </c>
    </row>
    <row r="1040" spans="1:12" ht="12.75">
      <c r="A1040" s="14">
        <v>39316</v>
      </c>
      <c r="B1040" s="30" t="s">
        <v>237</v>
      </c>
      <c r="C1040" s="29">
        <f>560054.95*0.8</f>
        <v>448043.95999999996</v>
      </c>
      <c r="D1040" s="71"/>
      <c r="E1040" s="32"/>
      <c r="F1040" s="31"/>
      <c r="G1040" s="31"/>
      <c r="H1040" s="32"/>
      <c r="J1040" s="4">
        <f t="shared" si="110"/>
        <v>-53973370.869499944</v>
      </c>
      <c r="K1040" s="6">
        <f t="shared" si="111"/>
        <v>0</v>
      </c>
      <c r="L1040" s="9">
        <f t="shared" si="112"/>
        <v>0</v>
      </c>
    </row>
    <row r="1041" spans="1:12" ht="12.75">
      <c r="A1041" s="14">
        <v>39316</v>
      </c>
      <c r="B1041" s="13" t="s">
        <v>32</v>
      </c>
      <c r="C1041" s="17">
        <f>-C1040</f>
        <v>-448043.95999999996</v>
      </c>
      <c r="D1041" s="46"/>
      <c r="E1041" s="17"/>
      <c r="F1041" s="31"/>
      <c r="G1041" s="31"/>
      <c r="H1041" s="32">
        <f>-C1041</f>
        <v>448043.95999999996</v>
      </c>
      <c r="J1041" s="4">
        <f t="shared" si="110"/>
        <v>-53525326.90949994</v>
      </c>
      <c r="K1041" s="6">
        <f t="shared" si="111"/>
        <v>1</v>
      </c>
      <c r="L1041" s="9">
        <f t="shared" si="112"/>
        <v>-29328.946251780795</v>
      </c>
    </row>
    <row r="1042" spans="1:12" ht="12.75">
      <c r="A1042" s="14">
        <v>39317</v>
      </c>
      <c r="B1042" s="47" t="s">
        <v>21</v>
      </c>
      <c r="D1042" s="49">
        <v>-63000</v>
      </c>
      <c r="E1042" s="17"/>
      <c r="F1042" s="31"/>
      <c r="G1042" s="49"/>
      <c r="H1042" s="32"/>
      <c r="J1042" s="4">
        <f t="shared" si="110"/>
        <v>-53588326.90949994</v>
      </c>
      <c r="K1042" s="6">
        <f t="shared" si="111"/>
        <v>0</v>
      </c>
      <c r="L1042" s="9">
        <f t="shared" si="112"/>
        <v>0</v>
      </c>
    </row>
    <row r="1043" spans="1:12" ht="12.75">
      <c r="A1043" s="14">
        <v>39317</v>
      </c>
      <c r="B1043" s="47" t="s">
        <v>20</v>
      </c>
      <c r="D1043" s="49">
        <v>-31800</v>
      </c>
      <c r="E1043" s="17"/>
      <c r="F1043" s="31"/>
      <c r="G1043" s="49"/>
      <c r="H1043" s="32"/>
      <c r="J1043" s="4">
        <f t="shared" si="110"/>
        <v>-53620126.90949994</v>
      </c>
      <c r="K1043" s="6">
        <f t="shared" si="111"/>
        <v>0</v>
      </c>
      <c r="L1043" s="9">
        <f t="shared" si="112"/>
        <v>0</v>
      </c>
    </row>
    <row r="1044" spans="1:12" ht="12.75">
      <c r="A1044" s="14">
        <v>39317</v>
      </c>
      <c r="B1044" s="47" t="s">
        <v>229</v>
      </c>
      <c r="D1044" s="49">
        <v>-60000</v>
      </c>
      <c r="E1044" s="17"/>
      <c r="F1044" s="31"/>
      <c r="G1044" s="49"/>
      <c r="H1044" s="32"/>
      <c r="J1044" s="4">
        <f t="shared" si="110"/>
        <v>-53680126.90949994</v>
      </c>
      <c r="K1044" s="6">
        <f t="shared" si="111"/>
        <v>1</v>
      </c>
      <c r="L1044" s="9">
        <f t="shared" si="112"/>
        <v>-29413.768169589013</v>
      </c>
    </row>
    <row r="1045" spans="1:12" ht="12.75">
      <c r="A1045" s="14">
        <v>39318</v>
      </c>
      <c r="B1045" s="47" t="s">
        <v>20</v>
      </c>
      <c r="D1045" s="49">
        <v>-106000</v>
      </c>
      <c r="E1045" s="17"/>
      <c r="F1045" s="31"/>
      <c r="G1045" s="49"/>
      <c r="H1045" s="32"/>
      <c r="J1045" s="4">
        <f t="shared" si="107"/>
        <v>-53786126.90949994</v>
      </c>
      <c r="K1045" s="6">
        <f t="shared" si="108"/>
        <v>8</v>
      </c>
      <c r="L1045" s="9">
        <f t="shared" si="109"/>
        <v>-235774.8028909587</v>
      </c>
    </row>
    <row r="1046" spans="1:12" ht="12.75">
      <c r="A1046" s="14">
        <v>39326</v>
      </c>
      <c r="B1046" s="47" t="s">
        <v>7</v>
      </c>
      <c r="E1046" s="49">
        <v>-45900</v>
      </c>
      <c r="F1046" s="31"/>
      <c r="G1046" s="49"/>
      <c r="H1046" s="32"/>
      <c r="J1046" s="4">
        <f t="shared" si="107"/>
        <v>-53832026.90949994</v>
      </c>
      <c r="K1046" s="6">
        <f t="shared" si="108"/>
        <v>8</v>
      </c>
      <c r="L1046" s="9">
        <f t="shared" si="109"/>
        <v>-235976.00837041074</v>
      </c>
    </row>
    <row r="1047" spans="1:12" ht="12.75">
      <c r="A1047" s="14">
        <v>39334</v>
      </c>
      <c r="B1047" s="47" t="s">
        <v>7</v>
      </c>
      <c r="E1047" s="49">
        <v>-54600</v>
      </c>
      <c r="F1047" s="31"/>
      <c r="G1047" s="49"/>
      <c r="H1047" s="32"/>
      <c r="J1047" s="4">
        <f t="shared" si="107"/>
        <v>-53886626.90949994</v>
      </c>
      <c r="K1047" s="6">
        <f t="shared" si="108"/>
        <v>5</v>
      </c>
      <c r="L1047" s="9">
        <f t="shared" si="109"/>
        <v>-147634.59427260258</v>
      </c>
    </row>
    <row r="1048" spans="1:12" ht="12.75">
      <c r="A1048" s="14">
        <v>39339</v>
      </c>
      <c r="B1048" s="47" t="s">
        <v>7</v>
      </c>
      <c r="E1048" s="49">
        <v>-93600</v>
      </c>
      <c r="F1048" s="31"/>
      <c r="G1048" s="49"/>
      <c r="H1048" s="32"/>
      <c r="J1048" s="4">
        <f>J1047+D1048+E1048+F1048+G1048+H1048+I1048</f>
        <v>-53980226.90949994</v>
      </c>
      <c r="L1048" s="9"/>
    </row>
    <row r="1049" spans="1:12" ht="12.75">
      <c r="A1049" s="14">
        <v>39340</v>
      </c>
      <c r="B1049" s="47" t="s">
        <v>7</v>
      </c>
      <c r="E1049" s="49">
        <v>-70200</v>
      </c>
      <c r="F1049" s="31"/>
      <c r="G1049" s="49"/>
      <c r="H1049" s="32"/>
      <c r="J1049" s="4">
        <f>J1048+D1049+E1049+F1049+G1049+H1049+I1049</f>
        <v>-54050426.90949994</v>
      </c>
      <c r="L1049" s="9"/>
    </row>
    <row r="1050" spans="1:12" ht="12.75">
      <c r="A1050" s="14">
        <v>39340</v>
      </c>
      <c r="B1050" s="47" t="s">
        <v>7</v>
      </c>
      <c r="E1050" s="49">
        <v>-70200</v>
      </c>
      <c r="F1050" s="31"/>
      <c r="G1050" s="49"/>
      <c r="H1050" s="32"/>
      <c r="J1050" s="4">
        <f>J1049+D1050+E1050+F1050+G1050+H1050+I1050</f>
        <v>-54120626.90949994</v>
      </c>
      <c r="L1050" s="9"/>
    </row>
    <row r="1051" spans="1:12" ht="12.75">
      <c r="A1051" s="14"/>
      <c r="B1051" s="47"/>
      <c r="D1051" s="49"/>
      <c r="E1051" s="17"/>
      <c r="F1051" s="31"/>
      <c r="G1051" s="49"/>
      <c r="H1051" s="32"/>
      <c r="J1051" s="4">
        <f>J1050+D1051+E1051+F1051+G1051+H1051+I1051</f>
        <v>-54120626.90949994</v>
      </c>
      <c r="L1051" s="9"/>
    </row>
    <row r="1052" spans="1:12" ht="12.75">
      <c r="A1052" s="14"/>
      <c r="B1052" s="47"/>
      <c r="D1052" s="49"/>
      <c r="E1052" s="17"/>
      <c r="F1052" s="31"/>
      <c r="G1052" s="49"/>
      <c r="H1052" s="32"/>
      <c r="J1052" s="2">
        <f>J1051</f>
        <v>-54120626.90949994</v>
      </c>
      <c r="L1052" s="2">
        <f>SUM(L3:L1051)</f>
        <v>-5519238.01567808</v>
      </c>
    </row>
    <row r="1053" spans="1:10" ht="12.75">
      <c r="A1053" s="1"/>
      <c r="J1053" s="2"/>
    </row>
    <row r="1054" spans="1:13" s="34" customFormat="1" ht="12.75">
      <c r="A1054" s="30"/>
      <c r="B1054" s="21"/>
      <c r="C1054" s="19"/>
      <c r="D1054" s="21"/>
      <c r="E1054" s="19"/>
      <c r="F1054" s="19"/>
      <c r="G1054" s="19"/>
      <c r="H1054" s="19"/>
      <c r="I1054" s="19"/>
      <c r="K1054" s="19"/>
      <c r="M1054" s="67"/>
    </row>
    <row r="1055" spans="1:13" s="34" customFormat="1" ht="12.75">
      <c r="A1055" s="30"/>
      <c r="B1055" s="19"/>
      <c r="C1055" s="19"/>
      <c r="D1055" s="19"/>
      <c r="E1055" s="19"/>
      <c r="F1055" s="19"/>
      <c r="G1055" s="19"/>
      <c r="H1055" s="19"/>
      <c r="I1055" s="19"/>
      <c r="J1055" s="29"/>
      <c r="K1055" s="19"/>
      <c r="M1055" s="67"/>
    </row>
    <row r="1056" spans="1:13" s="34" customFormat="1" ht="12.75">
      <c r="A1056" s="30"/>
      <c r="B1056" s="36" t="s">
        <v>15</v>
      </c>
      <c r="C1056" s="19"/>
      <c r="D1056" s="19"/>
      <c r="E1056" s="19"/>
      <c r="F1056" s="19"/>
      <c r="G1056" s="19"/>
      <c r="I1056" s="19"/>
      <c r="J1056" s="29"/>
      <c r="K1056" s="19"/>
      <c r="M1056" s="67"/>
    </row>
    <row r="1057" spans="1:13" s="34" customFormat="1" ht="12.75">
      <c r="A1057" s="23">
        <v>39087</v>
      </c>
      <c r="B1057" s="19" t="s">
        <v>19</v>
      </c>
      <c r="C1057" s="19"/>
      <c r="D1057" s="19"/>
      <c r="E1057" s="19"/>
      <c r="F1057" s="19"/>
      <c r="G1057" s="19"/>
      <c r="H1057" s="21">
        <f>(-C30-C1103)*0.075</f>
        <v>-77512.89</v>
      </c>
      <c r="I1057" s="19"/>
      <c r="J1057" s="4">
        <f>J1056+D1057+E1057+F1057+G1057+H1057+I1057</f>
        <v>-77512.89</v>
      </c>
      <c r="K1057" s="6"/>
      <c r="L1057" s="9"/>
      <c r="M1057" s="67"/>
    </row>
    <row r="1058" spans="1:13" s="34" customFormat="1" ht="12.75">
      <c r="A1058" s="23">
        <v>39100</v>
      </c>
      <c r="B1058" s="19" t="s">
        <v>43</v>
      </c>
      <c r="C1058" s="19"/>
      <c r="D1058" s="19"/>
      <c r="E1058" s="19"/>
      <c r="F1058" s="19"/>
      <c r="G1058" s="19"/>
      <c r="H1058" s="21">
        <f>-(C61+C1105)*0.075</f>
        <v>-321128.898</v>
      </c>
      <c r="I1058" s="19"/>
      <c r="J1058" s="4">
        <f>J1057+D1058+E1058+F1058+G1058+H1058+I1058</f>
        <v>-398641.788</v>
      </c>
      <c r="K1058" s="6"/>
      <c r="L1058" s="9"/>
      <c r="M1058" s="67"/>
    </row>
    <row r="1059" spans="1:13" s="34" customFormat="1" ht="12.75">
      <c r="A1059" s="23">
        <v>39100</v>
      </c>
      <c r="B1059" s="19" t="s">
        <v>18</v>
      </c>
      <c r="C1059" s="19"/>
      <c r="D1059" s="19"/>
      <c r="E1059" s="19"/>
      <c r="F1059" s="19"/>
      <c r="G1059" s="19"/>
      <c r="H1059" s="21">
        <f>(-C63-C1107)*0.075</f>
        <v>-178074.34874999998</v>
      </c>
      <c r="I1059" s="19"/>
      <c r="J1059" s="4">
        <f aca="true" t="shared" si="113" ref="J1059:J1093">J1058+D1059+E1059+F1059+G1059+H1059+I1059</f>
        <v>-576716.13675</v>
      </c>
      <c r="K1059" s="6"/>
      <c r="L1059" s="9"/>
      <c r="M1059" s="67"/>
    </row>
    <row r="1060" spans="1:13" s="34" customFormat="1" ht="12.75">
      <c r="A1060" s="23">
        <v>39114</v>
      </c>
      <c r="B1060" s="19" t="s">
        <v>56</v>
      </c>
      <c r="C1060" s="19"/>
      <c r="D1060" s="19"/>
      <c r="E1060" s="19"/>
      <c r="F1060" s="19"/>
      <c r="G1060" s="19"/>
      <c r="H1060" s="21">
        <f>(-C111-C1109)*0.075</f>
        <v>-302925.39824999997</v>
      </c>
      <c r="I1060" s="19"/>
      <c r="J1060" s="4">
        <f t="shared" si="113"/>
        <v>-879641.5349999999</v>
      </c>
      <c r="K1060" s="6"/>
      <c r="L1060" s="9"/>
      <c r="M1060" s="67"/>
    </row>
    <row r="1061" spans="1:13" s="34" customFormat="1" ht="12.75">
      <c r="A1061" s="23">
        <v>39126</v>
      </c>
      <c r="B1061" s="19" t="s">
        <v>77</v>
      </c>
      <c r="C1061" s="19"/>
      <c r="D1061" s="19"/>
      <c r="E1061" s="19"/>
      <c r="F1061" s="19"/>
      <c r="G1061" s="19"/>
      <c r="H1061" s="21">
        <f>-(C140+C1111)*0.075</f>
        <v>-144700.962</v>
      </c>
      <c r="I1061" s="19"/>
      <c r="J1061" s="4">
        <f t="shared" si="113"/>
        <v>-1024342.497</v>
      </c>
      <c r="K1061" s="6"/>
      <c r="L1061" s="9"/>
      <c r="M1061" s="67"/>
    </row>
    <row r="1062" spans="1:13" s="34" customFormat="1" ht="12.75">
      <c r="A1062" s="23">
        <v>39126</v>
      </c>
      <c r="B1062" s="19" t="s">
        <v>74</v>
      </c>
      <c r="C1062" s="19"/>
      <c r="D1062" s="19"/>
      <c r="E1062" s="19"/>
      <c r="F1062" s="19"/>
      <c r="G1062" s="19"/>
      <c r="H1062" s="21">
        <f>-(C142+C1113)*0.075</f>
        <v>-226192.36875</v>
      </c>
      <c r="I1062" s="19"/>
      <c r="J1062" s="4">
        <f t="shared" si="113"/>
        <v>-1250534.8657499999</v>
      </c>
      <c r="K1062" s="6"/>
      <c r="L1062" s="9"/>
      <c r="M1062" s="67"/>
    </row>
    <row r="1063" spans="1:13" s="34" customFormat="1" ht="12.75">
      <c r="A1063" s="23">
        <v>39127</v>
      </c>
      <c r="B1063" s="19" t="s">
        <v>75</v>
      </c>
      <c r="C1063" s="19"/>
      <c r="D1063" s="19"/>
      <c r="E1063" s="19"/>
      <c r="F1063" s="19"/>
      <c r="G1063" s="19"/>
      <c r="H1063" s="21">
        <f>-(C1115+C145)*0.075</f>
        <v>-96761.7375</v>
      </c>
      <c r="I1063" s="19"/>
      <c r="J1063" s="4">
        <f t="shared" si="113"/>
        <v>-1347296.60325</v>
      </c>
      <c r="K1063" s="6"/>
      <c r="L1063" s="9"/>
      <c r="M1063" s="67"/>
    </row>
    <row r="1064" spans="1:13" s="34" customFormat="1" ht="12.75">
      <c r="A1064" s="23">
        <v>39129</v>
      </c>
      <c r="B1064" s="19" t="s">
        <v>78</v>
      </c>
      <c r="C1064" s="19"/>
      <c r="D1064" s="19"/>
      <c r="E1064" s="19"/>
      <c r="F1064" s="19"/>
      <c r="G1064" s="19"/>
      <c r="H1064" s="21">
        <f>-(C1117+C153)*0.075</f>
        <v>-75177.876</v>
      </c>
      <c r="I1064" s="19"/>
      <c r="J1064" s="4">
        <f t="shared" si="113"/>
        <v>-1422474.4792499999</v>
      </c>
      <c r="K1064" s="6"/>
      <c r="L1064" s="9"/>
      <c r="M1064" s="67"/>
    </row>
    <row r="1065" spans="1:13" s="34" customFormat="1" ht="12.75">
      <c r="A1065" s="23">
        <v>39129</v>
      </c>
      <c r="B1065" s="19" t="s">
        <v>76</v>
      </c>
      <c r="C1065" s="19"/>
      <c r="D1065" s="19"/>
      <c r="E1065" s="19"/>
      <c r="F1065" s="19"/>
      <c r="G1065" s="19"/>
      <c r="H1065" s="21">
        <f>-(C1119+C155)*0.075</f>
        <v>-40358.49375</v>
      </c>
      <c r="I1065" s="19"/>
      <c r="J1065" s="4">
        <f t="shared" si="113"/>
        <v>-1462832.9729999998</v>
      </c>
      <c r="K1065" s="6"/>
      <c r="L1065" s="9"/>
      <c r="M1065" s="67"/>
    </row>
    <row r="1066" spans="1:13" s="34" customFormat="1" ht="12.75">
      <c r="A1066" s="23">
        <v>39143</v>
      </c>
      <c r="B1066" s="19" t="s">
        <v>107</v>
      </c>
      <c r="C1066" s="19"/>
      <c r="D1066" s="19"/>
      <c r="E1066" s="19"/>
      <c r="F1066" s="19"/>
      <c r="G1066" s="19"/>
      <c r="H1066" s="21">
        <f>-(C1121+C227)*0.075</f>
        <v>-227922.35625000004</v>
      </c>
      <c r="I1066" s="19"/>
      <c r="J1066" s="4">
        <f t="shared" si="113"/>
        <v>-1690755.3292499997</v>
      </c>
      <c r="K1066" s="6"/>
      <c r="L1066" s="9"/>
      <c r="M1066" s="67"/>
    </row>
    <row r="1067" spans="1:13" s="34" customFormat="1" ht="12.75">
      <c r="A1067" s="23">
        <v>39151</v>
      </c>
      <c r="B1067" s="19" t="s">
        <v>108</v>
      </c>
      <c r="C1067" s="19"/>
      <c r="D1067" s="19"/>
      <c r="E1067" s="19"/>
      <c r="F1067" s="19"/>
      <c r="G1067" s="19"/>
      <c r="H1067" s="21">
        <f>-(C241+C1123)*0.075</f>
        <v>-416781.14325</v>
      </c>
      <c r="I1067" s="19"/>
      <c r="J1067" s="4">
        <f t="shared" si="113"/>
        <v>-2107536.4724999997</v>
      </c>
      <c r="K1067" s="6"/>
      <c r="L1067" s="9"/>
      <c r="M1067" s="67"/>
    </row>
    <row r="1068" spans="1:13" s="34" customFormat="1" ht="12.75">
      <c r="A1068" s="23">
        <v>39151</v>
      </c>
      <c r="B1068" s="19" t="s">
        <v>109</v>
      </c>
      <c r="C1068" s="19"/>
      <c r="D1068" s="19"/>
      <c r="E1068" s="19"/>
      <c r="F1068" s="19"/>
      <c r="G1068" s="19"/>
      <c r="H1068" s="21">
        <f>-(C243+C1125)*0.075</f>
        <v>-121525.149</v>
      </c>
      <c r="I1068" s="19"/>
      <c r="J1068" s="4">
        <f t="shared" si="113"/>
        <v>-2229061.6215</v>
      </c>
      <c r="K1068" s="6"/>
      <c r="L1068" s="9"/>
      <c r="M1068" s="67"/>
    </row>
    <row r="1069" spans="1:13" s="34" customFormat="1" ht="12.75">
      <c r="A1069" s="23">
        <v>39161</v>
      </c>
      <c r="B1069" s="19" t="s">
        <v>110</v>
      </c>
      <c r="C1069" s="19"/>
      <c r="D1069" s="19"/>
      <c r="E1069" s="19"/>
      <c r="F1069" s="19"/>
      <c r="G1069" s="19"/>
      <c r="H1069" s="21">
        <f>-(C1127+C283)*0.075</f>
        <v>-29027.64375</v>
      </c>
      <c r="I1069" s="19"/>
      <c r="J1069" s="4">
        <f t="shared" si="113"/>
        <v>-2258089.2652499997</v>
      </c>
      <c r="K1069" s="6"/>
      <c r="L1069" s="9"/>
      <c r="M1069" s="67"/>
    </row>
    <row r="1070" spans="1:13" s="34" customFormat="1" ht="12.75">
      <c r="A1070" s="23">
        <v>39172</v>
      </c>
      <c r="B1070" s="19" t="s">
        <v>124</v>
      </c>
      <c r="C1070" s="19"/>
      <c r="D1070" s="19"/>
      <c r="E1070" s="19"/>
      <c r="F1070" s="19"/>
      <c r="G1070" s="19"/>
      <c r="H1070" s="21">
        <f>-(C1129+C310)*0.075</f>
        <v>-357151.56974999997</v>
      </c>
      <c r="I1070" s="19"/>
      <c r="J1070" s="4">
        <f t="shared" si="113"/>
        <v>-2615240.8349999995</v>
      </c>
      <c r="K1070" s="6"/>
      <c r="L1070" s="9"/>
      <c r="M1070" s="67"/>
    </row>
    <row r="1071" spans="1:13" s="34" customFormat="1" ht="12.75">
      <c r="A1071" s="23">
        <v>39190</v>
      </c>
      <c r="B1071" s="19" t="s">
        <v>126</v>
      </c>
      <c r="C1071" s="19"/>
      <c r="D1071" s="19"/>
      <c r="E1071" s="19"/>
      <c r="F1071" s="19"/>
      <c r="G1071" s="19"/>
      <c r="H1071" s="21">
        <f>-(C1131+C369)*0.075</f>
        <v>-41302.15125</v>
      </c>
      <c r="I1071" s="19"/>
      <c r="J1071" s="4">
        <f t="shared" si="113"/>
        <v>-2656542.9862499996</v>
      </c>
      <c r="K1071" s="6"/>
      <c r="L1071" s="9"/>
      <c r="M1071" s="67"/>
    </row>
    <row r="1072" spans="1:13" s="34" customFormat="1" ht="12.75">
      <c r="A1072" s="23">
        <v>39191</v>
      </c>
      <c r="B1072" s="19" t="s">
        <v>132</v>
      </c>
      <c r="C1072" s="19"/>
      <c r="D1072" s="19"/>
      <c r="E1072" s="19"/>
      <c r="F1072" s="19"/>
      <c r="G1072" s="19"/>
      <c r="H1072" s="21">
        <f>-(C1133+C371)*0.075</f>
        <v>-119117.02875000001</v>
      </c>
      <c r="I1072" s="19"/>
      <c r="J1072" s="4">
        <f t="shared" si="113"/>
        <v>-2775660.0149999997</v>
      </c>
      <c r="K1072" s="6"/>
      <c r="L1072" s="9"/>
      <c r="M1072" s="67"/>
    </row>
    <row r="1073" spans="1:13" s="34" customFormat="1" ht="12.75">
      <c r="A1073" s="23">
        <v>39191</v>
      </c>
      <c r="B1073" s="19" t="s">
        <v>133</v>
      </c>
      <c r="C1073" s="19"/>
      <c r="D1073" s="19"/>
      <c r="E1073" s="19"/>
      <c r="F1073" s="19"/>
      <c r="G1073" s="19"/>
      <c r="H1073" s="21">
        <f>-(C1135+C373)*0.075</f>
        <v>-359873.75999999995</v>
      </c>
      <c r="I1073" s="19"/>
      <c r="J1073" s="4">
        <f t="shared" si="113"/>
        <v>-3135533.7749999994</v>
      </c>
      <c r="K1073" s="6"/>
      <c r="L1073" s="9"/>
      <c r="M1073" s="67"/>
    </row>
    <row r="1074" spans="1:13" s="34" customFormat="1" ht="12.75">
      <c r="A1074" s="23">
        <v>39210</v>
      </c>
      <c r="B1074" s="19" t="s">
        <v>139</v>
      </c>
      <c r="C1074" s="19"/>
      <c r="D1074" s="19"/>
      <c r="E1074" s="19"/>
      <c r="F1074" s="19"/>
      <c r="G1074" s="19"/>
      <c r="H1074" s="21">
        <f>-(C1137+C428)*0.075</f>
        <v>-617672.3085</v>
      </c>
      <c r="I1074" s="19"/>
      <c r="J1074" s="4">
        <f t="shared" si="113"/>
        <v>-3753206.0834999997</v>
      </c>
      <c r="K1074" s="6"/>
      <c r="L1074" s="9"/>
      <c r="M1074" s="67"/>
    </row>
    <row r="1075" spans="1:13" s="34" customFormat="1" ht="12.75">
      <c r="A1075" s="23">
        <v>39217</v>
      </c>
      <c r="B1075" s="19" t="s">
        <v>149</v>
      </c>
      <c r="C1075" s="19"/>
      <c r="D1075" s="19"/>
      <c r="E1075" s="19"/>
      <c r="F1075" s="19"/>
      <c r="G1075" s="19"/>
      <c r="H1075" s="21">
        <f>-(C1139+C451)*0.075</f>
        <v>-444243.47024999995</v>
      </c>
      <c r="I1075" s="19"/>
      <c r="J1075" s="4">
        <f t="shared" si="113"/>
        <v>-4197449.55375</v>
      </c>
      <c r="K1075" s="6"/>
      <c r="L1075" s="9"/>
      <c r="M1075" s="67"/>
    </row>
    <row r="1076" spans="1:13" s="34" customFormat="1" ht="12.75">
      <c r="A1076" s="23">
        <v>39231</v>
      </c>
      <c r="B1076" s="19" t="s">
        <v>150</v>
      </c>
      <c r="C1076" s="19"/>
      <c r="D1076" s="19"/>
      <c r="E1076" s="19"/>
      <c r="F1076" s="19"/>
      <c r="G1076" s="19"/>
      <c r="H1076" s="21">
        <f>-(C1141+C498)*0.075</f>
        <v>-404856.31125</v>
      </c>
      <c r="I1076" s="19"/>
      <c r="J1076" s="4">
        <f t="shared" si="113"/>
        <v>-4602305.865</v>
      </c>
      <c r="K1076" s="6"/>
      <c r="L1076" s="9"/>
      <c r="M1076" s="67"/>
    </row>
    <row r="1077" spans="1:13" s="34" customFormat="1" ht="12.75">
      <c r="A1077" s="23">
        <v>39232</v>
      </c>
      <c r="B1077" s="19" t="s">
        <v>155</v>
      </c>
      <c r="C1077" s="19"/>
      <c r="D1077" s="19"/>
      <c r="E1077" s="19"/>
      <c r="F1077" s="19"/>
      <c r="G1077" s="19"/>
      <c r="H1077" s="21">
        <f>-(C1143+C500)*0.075</f>
        <v>-4098.719999999999</v>
      </c>
      <c r="I1077" s="19"/>
      <c r="J1077" s="4">
        <f t="shared" si="113"/>
        <v>-4606404.585</v>
      </c>
      <c r="K1077" s="6"/>
      <c r="L1077" s="9"/>
      <c r="M1077" s="67"/>
    </row>
    <row r="1078" spans="1:13" s="34" customFormat="1" ht="12.75">
      <c r="A1078" s="23">
        <v>39244</v>
      </c>
      <c r="B1078" s="19" t="s">
        <v>162</v>
      </c>
      <c r="C1078" s="19"/>
      <c r="D1078" s="19"/>
      <c r="E1078" s="19"/>
      <c r="F1078" s="19"/>
      <c r="G1078" s="19"/>
      <c r="H1078" s="21">
        <f>-(C1145+C619)*0.075</f>
        <v>-141541.62075000003</v>
      </c>
      <c r="I1078" s="19"/>
      <c r="J1078" s="4">
        <f t="shared" si="113"/>
        <v>-4747946.20575</v>
      </c>
      <c r="K1078" s="6"/>
      <c r="L1078" s="9"/>
      <c r="M1078" s="67"/>
    </row>
    <row r="1079" spans="1:13" s="34" customFormat="1" ht="12.75">
      <c r="A1079" s="23">
        <v>39248</v>
      </c>
      <c r="B1079" s="19" t="s">
        <v>168</v>
      </c>
      <c r="C1079" s="19"/>
      <c r="D1079" s="19"/>
      <c r="E1079" s="19"/>
      <c r="F1079" s="19"/>
      <c r="G1079" s="19"/>
      <c r="H1079" s="21">
        <f>-(C1147+C638)*0.075</f>
        <v>-634406.1449999999</v>
      </c>
      <c r="I1079" s="19"/>
      <c r="J1079" s="4">
        <f t="shared" si="113"/>
        <v>-5382352.350749999</v>
      </c>
      <c r="K1079" s="6"/>
      <c r="L1079" s="9"/>
      <c r="M1079" s="67"/>
    </row>
    <row r="1080" spans="1:13" s="34" customFormat="1" ht="12.75">
      <c r="A1080" s="23">
        <v>39258</v>
      </c>
      <c r="B1080" s="19" t="s">
        <v>169</v>
      </c>
      <c r="C1080" s="19"/>
      <c r="D1080" s="19"/>
      <c r="E1080" s="19"/>
      <c r="F1080" s="19"/>
      <c r="G1080" s="19"/>
      <c r="H1080" s="21">
        <f>-(C1149+C663)*0.075</f>
        <v>-24772.743750000005</v>
      </c>
      <c r="I1080" s="19"/>
      <c r="J1080" s="4">
        <f t="shared" si="113"/>
        <v>-5407125.0945</v>
      </c>
      <c r="K1080" s="6"/>
      <c r="L1080" s="9"/>
      <c r="M1080" s="67"/>
    </row>
    <row r="1081" spans="1:13" s="34" customFormat="1" ht="12.75">
      <c r="A1081" s="23">
        <v>39259</v>
      </c>
      <c r="B1081" s="19" t="s">
        <v>170</v>
      </c>
      <c r="C1081" s="19"/>
      <c r="D1081" s="19"/>
      <c r="E1081" s="19"/>
      <c r="F1081" s="19"/>
      <c r="G1081" s="19"/>
      <c r="H1081" s="21">
        <f>-(C1151+C676)*0.075</f>
        <v>-318972.99374999997</v>
      </c>
      <c r="I1081" s="19"/>
      <c r="J1081" s="4">
        <f t="shared" si="113"/>
        <v>-5726098.08825</v>
      </c>
      <c r="K1081" s="6"/>
      <c r="L1081" s="9"/>
      <c r="M1081" s="67"/>
    </row>
    <row r="1082" spans="1:13" s="34" customFormat="1" ht="12.75">
      <c r="A1082" s="23">
        <v>39259</v>
      </c>
      <c r="B1082" s="19" t="s">
        <v>171</v>
      </c>
      <c r="C1082" s="19"/>
      <c r="D1082" s="19"/>
      <c r="E1082" s="19"/>
      <c r="F1082" s="19"/>
      <c r="G1082" s="19"/>
      <c r="H1082" s="21">
        <f>-(C1153+C678)*0.075</f>
        <v>-377052.09375</v>
      </c>
      <c r="I1082" s="19"/>
      <c r="J1082" s="4">
        <f t="shared" si="113"/>
        <v>-6103150.182</v>
      </c>
      <c r="K1082" s="6"/>
      <c r="L1082" s="9"/>
      <c r="M1082" s="67"/>
    </row>
    <row r="1083" spans="1:13" s="34" customFormat="1" ht="12.75">
      <c r="A1083" s="23">
        <v>39261</v>
      </c>
      <c r="B1083" s="19" t="s">
        <v>172</v>
      </c>
      <c r="C1083" s="19"/>
      <c r="D1083" s="19"/>
      <c r="E1083" s="19"/>
      <c r="F1083" s="19"/>
      <c r="G1083" s="19"/>
      <c r="H1083" s="21">
        <f>-(C1155+C688)*0.075</f>
        <v>-17803.995000000003</v>
      </c>
      <c r="I1083" s="19"/>
      <c r="J1083" s="4">
        <f t="shared" si="113"/>
        <v>-6120954.177</v>
      </c>
      <c r="K1083" s="6"/>
      <c r="L1083" s="9"/>
      <c r="M1083" s="67"/>
    </row>
    <row r="1084" spans="1:13" s="34" customFormat="1" ht="12.75">
      <c r="A1084" s="23">
        <v>39283</v>
      </c>
      <c r="B1084" s="19" t="s">
        <v>207</v>
      </c>
      <c r="C1084" s="19"/>
      <c r="D1084" s="19"/>
      <c r="E1084" s="19"/>
      <c r="F1084" s="19"/>
      <c r="G1084" s="19"/>
      <c r="H1084" s="21">
        <f>-(C1157+C825)*0.075</f>
        <v>-410019.8212500001</v>
      </c>
      <c r="I1084" s="19"/>
      <c r="J1084" s="4">
        <f t="shared" si="113"/>
        <v>-6530973.99825</v>
      </c>
      <c r="K1084" s="6"/>
      <c r="L1084" s="9"/>
      <c r="M1084" s="67"/>
    </row>
    <row r="1085" spans="1:13" s="34" customFormat="1" ht="12.75">
      <c r="A1085" s="23">
        <v>39288</v>
      </c>
      <c r="B1085" s="19" t="s">
        <v>208</v>
      </c>
      <c r="C1085" s="19"/>
      <c r="D1085" s="19"/>
      <c r="E1085" s="19"/>
      <c r="F1085" s="19"/>
      <c r="G1085" s="19"/>
      <c r="H1085" s="21">
        <f>-(C1159+C870)*0.075</f>
        <v>-47375.85375</v>
      </c>
      <c r="I1085" s="19"/>
      <c r="J1085" s="4">
        <f t="shared" si="113"/>
        <v>-6578349.852</v>
      </c>
      <c r="K1085" s="6"/>
      <c r="L1085" s="9"/>
      <c r="M1085" s="67"/>
    </row>
    <row r="1086" spans="1:13" s="34" customFormat="1" ht="12.75">
      <c r="A1086" s="23">
        <v>39288</v>
      </c>
      <c r="B1086" s="19" t="s">
        <v>209</v>
      </c>
      <c r="C1086" s="19"/>
      <c r="D1086" s="19"/>
      <c r="E1086" s="19"/>
      <c r="F1086" s="19"/>
      <c r="G1086" s="19"/>
      <c r="H1086" s="21">
        <f>-(C1161+C872)*0.075</f>
        <v>-2714.46</v>
      </c>
      <c r="I1086" s="19"/>
      <c r="J1086" s="4">
        <f t="shared" si="113"/>
        <v>-6581064.312</v>
      </c>
      <c r="K1086" s="6"/>
      <c r="L1086" s="9"/>
      <c r="M1086" s="67"/>
    </row>
    <row r="1087" spans="1:13" s="34" customFormat="1" ht="12.75">
      <c r="A1087" s="23">
        <v>39288</v>
      </c>
      <c r="B1087" s="19" t="s">
        <v>210</v>
      </c>
      <c r="C1087" s="19"/>
      <c r="D1087" s="19"/>
      <c r="E1087" s="19"/>
      <c r="F1087" s="19"/>
      <c r="G1087" s="19"/>
      <c r="H1087" s="21">
        <f>-(C1163+C874)*0.075</f>
        <v>-21178.469999999998</v>
      </c>
      <c r="I1087" s="19"/>
      <c r="J1087" s="4">
        <f t="shared" si="113"/>
        <v>-6602242.782</v>
      </c>
      <c r="K1087" s="6"/>
      <c r="L1087" s="9"/>
      <c r="M1087" s="67"/>
    </row>
    <row r="1088" spans="1:13" s="34" customFormat="1" ht="12.75">
      <c r="A1088" s="23">
        <v>39289</v>
      </c>
      <c r="B1088" s="19" t="s">
        <v>211</v>
      </c>
      <c r="C1088" s="19"/>
      <c r="D1088" s="19"/>
      <c r="E1088" s="19"/>
      <c r="F1088" s="19"/>
      <c r="G1088" s="19"/>
      <c r="H1088" s="21">
        <f>-(C1165+C876)*0.075</f>
        <v>-23588.56875</v>
      </c>
      <c r="I1088" s="19"/>
      <c r="J1088" s="4">
        <f t="shared" si="113"/>
        <v>-6625831.350749999</v>
      </c>
      <c r="K1088" s="6"/>
      <c r="L1088" s="9"/>
      <c r="M1088" s="67"/>
    </row>
    <row r="1089" spans="1:13" s="34" customFormat="1" ht="12.75">
      <c r="A1089" s="23">
        <v>39289</v>
      </c>
      <c r="B1089" s="19" t="s">
        <v>212</v>
      </c>
      <c r="C1089" s="19"/>
      <c r="D1089" s="19"/>
      <c r="E1089" s="19"/>
      <c r="F1089" s="19"/>
      <c r="G1089" s="19"/>
      <c r="H1089" s="21">
        <f>-(C1167+C878)*0.075</f>
        <v>-28854.269999999997</v>
      </c>
      <c r="I1089" s="19"/>
      <c r="J1089" s="4">
        <f t="shared" si="113"/>
        <v>-6654685.620749999</v>
      </c>
      <c r="K1089" s="6"/>
      <c r="L1089" s="9"/>
      <c r="M1089" s="67"/>
    </row>
    <row r="1090" spans="1:13" s="34" customFormat="1" ht="12.75">
      <c r="A1090" s="23">
        <v>39302</v>
      </c>
      <c r="B1090" s="19" t="s">
        <v>231</v>
      </c>
      <c r="C1090" s="19"/>
      <c r="D1090" s="19"/>
      <c r="E1090" s="19"/>
      <c r="F1090" s="19"/>
      <c r="G1090" s="19"/>
      <c r="H1090" s="21">
        <f>-(C1169+C915)*0.075</f>
        <v>-182599.05750000002</v>
      </c>
      <c r="I1090" s="19"/>
      <c r="J1090" s="4">
        <f t="shared" si="113"/>
        <v>-6837284.678249999</v>
      </c>
      <c r="K1090" s="6"/>
      <c r="L1090" s="9"/>
      <c r="M1090" s="67"/>
    </row>
    <row r="1091" spans="1:13" s="34" customFormat="1" ht="12.75">
      <c r="A1091" s="23">
        <v>39316</v>
      </c>
      <c r="B1091" s="19" t="s">
        <v>232</v>
      </c>
      <c r="C1091" s="19"/>
      <c r="D1091" s="19"/>
      <c r="E1091" s="19"/>
      <c r="F1091" s="19"/>
      <c r="G1091" s="19"/>
      <c r="H1091" s="21">
        <f>-(C1172+C1036)*0.075</f>
        <v>-26337.618750000005</v>
      </c>
      <c r="I1091" s="19"/>
      <c r="J1091" s="4">
        <f t="shared" si="113"/>
        <v>-6863622.296999999</v>
      </c>
      <c r="K1091" s="6"/>
      <c r="L1091" s="9"/>
      <c r="M1091" s="67"/>
    </row>
    <row r="1092" spans="1:13" s="34" customFormat="1" ht="12.75">
      <c r="A1092" s="23">
        <v>39316</v>
      </c>
      <c r="B1092" s="19" t="s">
        <v>233</v>
      </c>
      <c r="C1092" s="19"/>
      <c r="D1092" s="19"/>
      <c r="E1092" s="19"/>
      <c r="F1092" s="19"/>
      <c r="G1092" s="19"/>
      <c r="H1092" s="21">
        <f>-(C1174+C1038)*0.075</f>
        <v>-33401.2275</v>
      </c>
      <c r="I1092" s="19"/>
      <c r="J1092" s="4">
        <f t="shared" si="113"/>
        <v>-6897023.524499999</v>
      </c>
      <c r="K1092" s="6"/>
      <c r="L1092" s="9"/>
      <c r="M1092" s="67"/>
    </row>
    <row r="1093" spans="1:13" s="34" customFormat="1" ht="12.75">
      <c r="A1093" s="23">
        <v>39316</v>
      </c>
      <c r="B1093" s="19" t="s">
        <v>234</v>
      </c>
      <c r="C1093" s="19"/>
      <c r="D1093" s="19"/>
      <c r="E1093" s="19"/>
      <c r="F1093" s="19"/>
      <c r="G1093" s="19"/>
      <c r="H1093" s="21">
        <f>-(C1176+C1040)*0.075</f>
        <v>-42004.12125</v>
      </c>
      <c r="I1093" s="19"/>
      <c r="J1093" s="4">
        <f t="shared" si="113"/>
        <v>-6939027.645749999</v>
      </c>
      <c r="K1093" s="6"/>
      <c r="L1093" s="9"/>
      <c r="M1093" s="67"/>
    </row>
    <row r="1094" spans="1:12" ht="12.75">
      <c r="A1094" s="1"/>
      <c r="B1094" s="21"/>
      <c r="C1094" s="12"/>
      <c r="G1094" s="21"/>
      <c r="H1094" s="21"/>
      <c r="J1094" s="2">
        <f>J1093</f>
        <v>-6939027.645749999</v>
      </c>
      <c r="L1094" s="2"/>
    </row>
    <row r="1095" spans="1:12" ht="12.75">
      <c r="A1095" s="1"/>
      <c r="B1095" s="21"/>
      <c r="C1095" s="12"/>
      <c r="G1095" s="21"/>
      <c r="H1095" s="21"/>
      <c r="J1095" s="2"/>
      <c r="L1095" s="2"/>
    </row>
    <row r="1096" spans="1:12" ht="12.75">
      <c r="A1096" s="1"/>
      <c r="B1096" s="36" t="s">
        <v>46</v>
      </c>
      <c r="C1096" s="12"/>
      <c r="G1096" s="21"/>
      <c r="H1096" s="21"/>
      <c r="J1096" s="2"/>
      <c r="L1096" s="2"/>
    </row>
    <row r="1097" spans="1:12" ht="12.75">
      <c r="A1097" s="68">
        <v>39083</v>
      </c>
      <c r="B1097" s="69" t="s">
        <v>57</v>
      </c>
      <c r="C1097" s="12"/>
      <c r="G1097" s="21"/>
      <c r="H1097" s="21">
        <v>-2139281.5641570045</v>
      </c>
      <c r="J1097" s="4">
        <f>J1096+D1097+E1097+F1097+G1097+H1097+I1097</f>
        <v>-2139281.5641570045</v>
      </c>
      <c r="L1097" s="2"/>
    </row>
    <row r="1098" spans="1:12" ht="12.75">
      <c r="A1098" s="68">
        <v>39083</v>
      </c>
      <c r="B1098" s="69" t="s">
        <v>58</v>
      </c>
      <c r="C1098" s="12"/>
      <c r="G1098" s="21"/>
      <c r="H1098" s="21">
        <v>-13344257.858533252</v>
      </c>
      <c r="J1098" s="4">
        <f>J1097+D1098+E1098+F1098+G1098+H1098+I1098</f>
        <v>-15483539.422690257</v>
      </c>
      <c r="L1098" s="2"/>
    </row>
    <row r="1099" spans="1:12" ht="12.75">
      <c r="A1099" s="68">
        <v>39083</v>
      </c>
      <c r="B1099" s="69" t="s">
        <v>59</v>
      </c>
      <c r="C1099" s="12"/>
      <c r="G1099" s="21"/>
      <c r="H1099" s="21">
        <v>-11810204.183963729</v>
      </c>
      <c r="J1099" s="4">
        <f aca="true" t="shared" si="114" ref="J1099:J1104">J1098+D1099+E1099+F1099+G1099+H1099+I1099</f>
        <v>-27293743.60665399</v>
      </c>
      <c r="L1099" s="2"/>
    </row>
    <row r="1100" spans="1:12" ht="12.75">
      <c r="A1100" s="68">
        <v>39083</v>
      </c>
      <c r="B1100" s="69" t="s">
        <v>60</v>
      </c>
      <c r="C1100" s="12"/>
      <c r="G1100" s="21"/>
      <c r="H1100" s="21">
        <v>-879173.21</v>
      </c>
      <c r="J1100" s="4">
        <f t="shared" si="114"/>
        <v>-28172916.81665399</v>
      </c>
      <c r="L1100" s="2"/>
    </row>
    <row r="1101" spans="1:12" ht="12.75">
      <c r="A1101" s="68">
        <v>39083</v>
      </c>
      <c r="B1101" s="70" t="s">
        <v>73</v>
      </c>
      <c r="C1101" s="12"/>
      <c r="G1101" s="21"/>
      <c r="H1101" s="21">
        <v>-750000</v>
      </c>
      <c r="J1101" s="4">
        <f t="shared" si="114"/>
        <v>-28922916.81665399</v>
      </c>
      <c r="L1101" s="2"/>
    </row>
    <row r="1102" spans="1:12" ht="12.75">
      <c r="A1102" s="68">
        <v>39083</v>
      </c>
      <c r="B1102" s="70" t="s">
        <v>96</v>
      </c>
      <c r="C1102" s="12"/>
      <c r="G1102" s="21"/>
      <c r="H1102" s="21">
        <v>-750000</v>
      </c>
      <c r="J1102" s="4">
        <f t="shared" si="114"/>
        <v>-29672916.81665399</v>
      </c>
      <c r="L1102" s="2"/>
    </row>
    <row r="1103" spans="1:12" ht="12.75">
      <c r="A1103" s="68">
        <v>39087</v>
      </c>
      <c r="B1103" s="30" t="s">
        <v>79</v>
      </c>
      <c r="C1103" s="29">
        <f>1033505.2*0.2</f>
        <v>206701.04</v>
      </c>
      <c r="D1103" s="33"/>
      <c r="E1103" s="32"/>
      <c r="F1103" s="31"/>
      <c r="G1103" s="31"/>
      <c r="H1103" s="32"/>
      <c r="J1103" s="4">
        <f t="shared" si="114"/>
        <v>-29672916.81665399</v>
      </c>
      <c r="L1103" s="2"/>
    </row>
    <row r="1104" spans="1:12" ht="12.75">
      <c r="A1104" s="68">
        <v>39087</v>
      </c>
      <c r="B1104" s="13" t="s">
        <v>61</v>
      </c>
      <c r="C1104" s="15">
        <f>-C1103</f>
        <v>-206701.04</v>
      </c>
      <c r="D1104" s="71"/>
      <c r="E1104" s="32"/>
      <c r="F1104" s="31"/>
      <c r="G1104" s="31"/>
      <c r="H1104" s="32">
        <f>-C1104</f>
        <v>206701.04</v>
      </c>
      <c r="J1104" s="4">
        <f t="shared" si="114"/>
        <v>-29466215.77665399</v>
      </c>
      <c r="L1104" s="2"/>
    </row>
    <row r="1105" spans="1:12" ht="12.75">
      <c r="A1105" s="68">
        <v>39100</v>
      </c>
      <c r="B1105" s="30" t="s">
        <v>80</v>
      </c>
      <c r="C1105" s="29">
        <f>4281718.64*0.2</f>
        <v>856343.728</v>
      </c>
      <c r="D1105" s="33"/>
      <c r="E1105" s="32"/>
      <c r="F1105" s="31"/>
      <c r="G1105" s="31"/>
      <c r="H1105" s="32"/>
      <c r="J1105" s="4">
        <f aca="true" t="shared" si="115" ref="J1105:J1168">J1104+D1105+E1105+F1105+G1105+H1105+I1105</f>
        <v>-29466215.77665399</v>
      </c>
      <c r="L1105" s="2"/>
    </row>
    <row r="1106" spans="1:12" ht="12.75">
      <c r="A1106" s="68">
        <v>39100</v>
      </c>
      <c r="B1106" s="13" t="s">
        <v>61</v>
      </c>
      <c r="C1106" s="15">
        <f>-C1105</f>
        <v>-856343.728</v>
      </c>
      <c r="D1106" s="71"/>
      <c r="E1106" s="32"/>
      <c r="F1106" s="31"/>
      <c r="G1106" s="31"/>
      <c r="H1106" s="32">
        <f>-C1106</f>
        <v>856343.728</v>
      </c>
      <c r="J1106" s="4">
        <f t="shared" si="115"/>
        <v>-28609872.04865399</v>
      </c>
      <c r="L1106" s="2"/>
    </row>
    <row r="1107" spans="1:12" ht="12.75">
      <c r="A1107" s="68">
        <v>39100</v>
      </c>
      <c r="B1107" s="30" t="s">
        <v>81</v>
      </c>
      <c r="C1107" s="29">
        <f>2374324.65*0.2</f>
        <v>474864.93</v>
      </c>
      <c r="D1107" s="71"/>
      <c r="E1107" s="32"/>
      <c r="F1107" s="31"/>
      <c r="G1107" s="31"/>
      <c r="H1107" s="32"/>
      <c r="J1107" s="4">
        <f t="shared" si="115"/>
        <v>-28609872.04865399</v>
      </c>
      <c r="L1107" s="2"/>
    </row>
    <row r="1108" spans="1:12" ht="12.75">
      <c r="A1108" s="68">
        <v>39100</v>
      </c>
      <c r="B1108" s="13" t="s">
        <v>61</v>
      </c>
      <c r="C1108" s="15">
        <f>-C1107</f>
        <v>-474864.93</v>
      </c>
      <c r="D1108" s="71"/>
      <c r="E1108" s="32"/>
      <c r="F1108" s="31"/>
      <c r="G1108" s="31"/>
      <c r="H1108" s="32">
        <f>-C1108</f>
        <v>474864.93</v>
      </c>
      <c r="J1108" s="4">
        <f t="shared" si="115"/>
        <v>-28135007.11865399</v>
      </c>
      <c r="L1108" s="2"/>
    </row>
    <row r="1109" spans="1:12" ht="12.75">
      <c r="A1109" s="68">
        <v>39114</v>
      </c>
      <c r="B1109" s="30" t="s">
        <v>82</v>
      </c>
      <c r="C1109" s="29">
        <f>4039005.31*0.2</f>
        <v>807801.062</v>
      </c>
      <c r="D1109" s="33"/>
      <c r="E1109" s="32"/>
      <c r="F1109" s="31"/>
      <c r="G1109" s="31"/>
      <c r="H1109" s="32"/>
      <c r="J1109" s="4">
        <f t="shared" si="115"/>
        <v>-28135007.11865399</v>
      </c>
      <c r="L1109" s="2"/>
    </row>
    <row r="1110" spans="1:12" ht="12.75">
      <c r="A1110" s="68">
        <v>39114</v>
      </c>
      <c r="B1110" s="13" t="s">
        <v>61</v>
      </c>
      <c r="C1110" s="15">
        <f>-C1109</f>
        <v>-807801.062</v>
      </c>
      <c r="D1110" s="71"/>
      <c r="E1110" s="32"/>
      <c r="F1110" s="31"/>
      <c r="G1110" s="31"/>
      <c r="H1110" s="32">
        <f>-C1110</f>
        <v>807801.062</v>
      </c>
      <c r="J1110" s="4">
        <f t="shared" si="115"/>
        <v>-27327206.05665399</v>
      </c>
      <c r="L1110" s="2"/>
    </row>
    <row r="1111" spans="1:12" ht="12.75">
      <c r="A1111" s="68">
        <v>39126</v>
      </c>
      <c r="B1111" s="30" t="s">
        <v>83</v>
      </c>
      <c r="C1111" s="29">
        <f>1929346.16*0.2</f>
        <v>385869.232</v>
      </c>
      <c r="D1111" s="33"/>
      <c r="E1111" s="32"/>
      <c r="F1111" s="31"/>
      <c r="G1111" s="31"/>
      <c r="H1111" s="32"/>
      <c r="J1111" s="4">
        <f t="shared" si="115"/>
        <v>-27327206.05665399</v>
      </c>
      <c r="L1111" s="2"/>
    </row>
    <row r="1112" spans="1:12" ht="12.75">
      <c r="A1112" s="68">
        <v>39126</v>
      </c>
      <c r="B1112" s="13" t="s">
        <v>61</v>
      </c>
      <c r="C1112" s="15">
        <f>-C1111</f>
        <v>-385869.232</v>
      </c>
      <c r="D1112" s="71"/>
      <c r="E1112" s="32"/>
      <c r="F1112" s="31"/>
      <c r="G1112" s="31"/>
      <c r="H1112" s="32">
        <f>-C1112</f>
        <v>385869.232</v>
      </c>
      <c r="J1112" s="4">
        <f t="shared" si="115"/>
        <v>-26941336.82465399</v>
      </c>
      <c r="L1112" s="2"/>
    </row>
    <row r="1113" spans="1:12" ht="12.75">
      <c r="A1113" s="68">
        <v>39126</v>
      </c>
      <c r="B1113" s="30" t="s">
        <v>84</v>
      </c>
      <c r="C1113" s="29">
        <f>3015898.25*0.2</f>
        <v>603179.65</v>
      </c>
      <c r="D1113" s="71"/>
      <c r="E1113" s="32"/>
      <c r="F1113" s="31"/>
      <c r="G1113" s="31"/>
      <c r="H1113" s="32"/>
      <c r="J1113" s="4">
        <f t="shared" si="115"/>
        <v>-26941336.82465399</v>
      </c>
      <c r="L1113" s="2"/>
    </row>
    <row r="1114" spans="1:12" ht="12.75">
      <c r="A1114" s="68">
        <v>39126</v>
      </c>
      <c r="B1114" s="13" t="s">
        <v>61</v>
      </c>
      <c r="C1114" s="15">
        <f>-C1113</f>
        <v>-603179.65</v>
      </c>
      <c r="D1114" s="71"/>
      <c r="E1114" s="32"/>
      <c r="F1114" s="31"/>
      <c r="G1114" s="31"/>
      <c r="H1114" s="32">
        <f>-C1114</f>
        <v>603179.65</v>
      </c>
      <c r="J1114" s="4">
        <f t="shared" si="115"/>
        <v>-26338157.174653992</v>
      </c>
      <c r="L1114" s="2"/>
    </row>
    <row r="1115" spans="1:12" ht="12.75">
      <c r="A1115" s="68">
        <v>39127</v>
      </c>
      <c r="B1115" s="30" t="s">
        <v>85</v>
      </c>
      <c r="C1115" s="29">
        <f>1290156.5*0.2</f>
        <v>258031.30000000002</v>
      </c>
      <c r="D1115" s="71"/>
      <c r="E1115" s="32"/>
      <c r="F1115" s="31"/>
      <c r="G1115" s="31"/>
      <c r="H1115" s="32"/>
      <c r="J1115" s="4">
        <f t="shared" si="115"/>
        <v>-26338157.174653992</v>
      </c>
      <c r="L1115" s="2"/>
    </row>
    <row r="1116" spans="1:12" ht="12.75">
      <c r="A1116" s="68">
        <v>39127</v>
      </c>
      <c r="B1116" s="13" t="s">
        <v>61</v>
      </c>
      <c r="C1116" s="15">
        <f>-C1115</f>
        <v>-258031.30000000002</v>
      </c>
      <c r="D1116" s="71"/>
      <c r="E1116" s="32"/>
      <c r="F1116" s="31"/>
      <c r="G1116" s="31"/>
      <c r="H1116" s="32">
        <f>-C1116</f>
        <v>258031.30000000002</v>
      </c>
      <c r="J1116" s="4">
        <f t="shared" si="115"/>
        <v>-26080125.87465399</v>
      </c>
      <c r="L1116" s="2"/>
    </row>
    <row r="1117" spans="1:12" ht="12.75">
      <c r="A1117" s="68">
        <v>39129</v>
      </c>
      <c r="B1117" s="30" t="s">
        <v>86</v>
      </c>
      <c r="C1117" s="29">
        <f>1002371.68*0.2</f>
        <v>200474.336</v>
      </c>
      <c r="D1117" s="33"/>
      <c r="E1117" s="32"/>
      <c r="F1117" s="31"/>
      <c r="G1117" s="31"/>
      <c r="H1117" s="32"/>
      <c r="J1117" s="4">
        <f t="shared" si="115"/>
        <v>-26080125.87465399</v>
      </c>
      <c r="L1117" s="2"/>
    </row>
    <row r="1118" spans="1:12" ht="12.75">
      <c r="A1118" s="68">
        <v>39129</v>
      </c>
      <c r="B1118" s="13" t="s">
        <v>61</v>
      </c>
      <c r="C1118" s="15">
        <f>-C1117</f>
        <v>-200474.336</v>
      </c>
      <c r="D1118" s="71"/>
      <c r="E1118" s="32"/>
      <c r="F1118" s="31"/>
      <c r="G1118" s="31"/>
      <c r="H1118" s="32">
        <f>-C1118</f>
        <v>200474.336</v>
      </c>
      <c r="J1118" s="4">
        <f t="shared" si="115"/>
        <v>-25879651.538653992</v>
      </c>
      <c r="L1118" s="2"/>
    </row>
    <row r="1119" spans="1:12" ht="12.75">
      <c r="A1119" s="68">
        <v>39129</v>
      </c>
      <c r="B1119" s="30" t="s">
        <v>87</v>
      </c>
      <c r="C1119" s="29">
        <f>538113.25*0.2</f>
        <v>107622.65000000001</v>
      </c>
      <c r="D1119" s="71"/>
      <c r="E1119" s="32"/>
      <c r="F1119" s="31"/>
      <c r="G1119" s="31"/>
      <c r="H1119" s="32"/>
      <c r="J1119" s="4">
        <f t="shared" si="115"/>
        <v>-25879651.538653992</v>
      </c>
      <c r="L1119" s="2"/>
    </row>
    <row r="1120" spans="1:12" ht="12.75">
      <c r="A1120" s="68">
        <v>39129</v>
      </c>
      <c r="B1120" s="13" t="s">
        <v>61</v>
      </c>
      <c r="C1120" s="15">
        <f>-C1119</f>
        <v>-107622.65000000001</v>
      </c>
      <c r="D1120" s="71"/>
      <c r="E1120" s="32"/>
      <c r="F1120" s="31"/>
      <c r="G1120" s="31"/>
      <c r="H1120" s="32">
        <f>-C1120</f>
        <v>107622.65000000001</v>
      </c>
      <c r="J1120" s="4">
        <f t="shared" si="115"/>
        <v>-25772028.888653994</v>
      </c>
      <c r="L1120" s="2"/>
    </row>
    <row r="1121" spans="1:12" ht="12.75">
      <c r="A1121" s="68">
        <v>39143</v>
      </c>
      <c r="B1121" s="30" t="s">
        <v>99</v>
      </c>
      <c r="C1121" s="29">
        <f>3038964.75*0.2</f>
        <v>607792.9500000001</v>
      </c>
      <c r="D1121" s="71"/>
      <c r="E1121" s="32"/>
      <c r="F1121" s="31"/>
      <c r="G1121" s="31"/>
      <c r="H1121" s="32"/>
      <c r="J1121" s="4">
        <f t="shared" si="115"/>
        <v>-25772028.888653994</v>
      </c>
      <c r="L1121" s="2"/>
    </row>
    <row r="1122" spans="1:12" ht="12.75">
      <c r="A1122" s="68">
        <v>39143</v>
      </c>
      <c r="B1122" s="13" t="s">
        <v>61</v>
      </c>
      <c r="C1122" s="15">
        <f>-C1121</f>
        <v>-607792.9500000001</v>
      </c>
      <c r="D1122" s="71"/>
      <c r="E1122" s="32"/>
      <c r="F1122" s="31"/>
      <c r="G1122" s="31"/>
      <c r="H1122" s="32">
        <f>-C1122</f>
        <v>607792.9500000001</v>
      </c>
      <c r="J1122" s="4">
        <f t="shared" si="115"/>
        <v>-25164235.938653994</v>
      </c>
      <c r="L1122" s="2"/>
    </row>
    <row r="1123" spans="1:12" ht="12.75">
      <c r="A1123" s="68">
        <v>39151</v>
      </c>
      <c r="B1123" s="30" t="s">
        <v>100</v>
      </c>
      <c r="C1123" s="29">
        <f>5557081.91*0.2</f>
        <v>1111416.382</v>
      </c>
      <c r="D1123" s="71"/>
      <c r="E1123" s="32"/>
      <c r="F1123" s="31"/>
      <c r="G1123" s="31"/>
      <c r="H1123" s="32"/>
      <c r="J1123" s="4">
        <f t="shared" si="115"/>
        <v>-25164235.938653994</v>
      </c>
      <c r="L1123" s="2"/>
    </row>
    <row r="1124" spans="1:12" ht="12.75">
      <c r="A1124" s="68">
        <v>39151</v>
      </c>
      <c r="B1124" s="13" t="s">
        <v>61</v>
      </c>
      <c r="C1124" s="15">
        <f>-C1123</f>
        <v>-1111416.382</v>
      </c>
      <c r="D1124" s="71"/>
      <c r="E1124" s="32"/>
      <c r="F1124" s="31"/>
      <c r="G1124" s="31"/>
      <c r="H1124" s="32">
        <f>-C1124</f>
        <v>1111416.382</v>
      </c>
      <c r="J1124" s="4">
        <f t="shared" si="115"/>
        <v>-24052819.556653995</v>
      </c>
      <c r="L1124" s="2"/>
    </row>
    <row r="1125" spans="1:12" ht="12.75">
      <c r="A1125" s="68">
        <v>39151</v>
      </c>
      <c r="B1125" s="30" t="s">
        <v>104</v>
      </c>
      <c r="C1125" s="29">
        <f>1620335.32*0.2</f>
        <v>324067.064</v>
      </c>
      <c r="D1125" s="71"/>
      <c r="E1125" s="32"/>
      <c r="F1125" s="31"/>
      <c r="G1125" s="31"/>
      <c r="H1125" s="32"/>
      <c r="J1125" s="4">
        <f t="shared" si="115"/>
        <v>-24052819.556653995</v>
      </c>
      <c r="L1125" s="2"/>
    </row>
    <row r="1126" spans="1:12" ht="12.75">
      <c r="A1126" s="68">
        <v>39151</v>
      </c>
      <c r="B1126" s="13" t="s">
        <v>61</v>
      </c>
      <c r="C1126" s="15">
        <f>-C1125</f>
        <v>-324067.064</v>
      </c>
      <c r="D1126" s="71"/>
      <c r="E1126" s="32"/>
      <c r="F1126" s="31"/>
      <c r="G1126" s="31"/>
      <c r="H1126" s="32">
        <f>-C1126</f>
        <v>324067.064</v>
      </c>
      <c r="J1126" s="4">
        <f t="shared" si="115"/>
        <v>-23728752.492653996</v>
      </c>
      <c r="L1126" s="2"/>
    </row>
    <row r="1127" spans="1:12" ht="12.75">
      <c r="A1127" s="68">
        <v>39161</v>
      </c>
      <c r="B1127" s="30" t="s">
        <v>101</v>
      </c>
      <c r="C1127" s="29">
        <f>387035.25*0.2</f>
        <v>77407.05</v>
      </c>
      <c r="D1127" s="71"/>
      <c r="E1127" s="32"/>
      <c r="F1127" s="31"/>
      <c r="G1127" s="31"/>
      <c r="H1127" s="32"/>
      <c r="J1127" s="4">
        <f t="shared" si="115"/>
        <v>-23728752.492653996</v>
      </c>
      <c r="L1127" s="2"/>
    </row>
    <row r="1128" spans="1:12" ht="12.75">
      <c r="A1128" s="68">
        <v>39161</v>
      </c>
      <c r="B1128" s="13" t="s">
        <v>61</v>
      </c>
      <c r="C1128" s="15">
        <f>-C1127</f>
        <v>-77407.05</v>
      </c>
      <c r="D1128" s="71"/>
      <c r="E1128" s="32"/>
      <c r="F1128" s="31"/>
      <c r="G1128" s="31"/>
      <c r="H1128" s="32">
        <f>-C1128</f>
        <v>77407.05</v>
      </c>
      <c r="J1128" s="4">
        <f t="shared" si="115"/>
        <v>-23651345.442653995</v>
      </c>
      <c r="L1128" s="2"/>
    </row>
    <row r="1129" spans="1:12" ht="12.75">
      <c r="A1129" s="14">
        <v>39172</v>
      </c>
      <c r="B1129" s="30" t="s">
        <v>119</v>
      </c>
      <c r="C1129" s="29">
        <f>4762020.93*0.2</f>
        <v>952404.186</v>
      </c>
      <c r="D1129" s="46"/>
      <c r="E1129" s="17"/>
      <c r="F1129" s="31"/>
      <c r="G1129" s="31"/>
      <c r="H1129" s="32"/>
      <c r="J1129" s="4">
        <f t="shared" si="115"/>
        <v>-23651345.442653995</v>
      </c>
      <c r="L1129" s="2"/>
    </row>
    <row r="1130" spans="1:12" ht="12.75">
      <c r="A1130" s="14">
        <v>39172</v>
      </c>
      <c r="B1130" s="13" t="s">
        <v>32</v>
      </c>
      <c r="C1130" s="17">
        <f>-C1129</f>
        <v>-952404.186</v>
      </c>
      <c r="D1130" s="46"/>
      <c r="E1130" s="17"/>
      <c r="F1130" s="31"/>
      <c r="G1130" s="31"/>
      <c r="H1130" s="32">
        <f>-C1130</f>
        <v>952404.186</v>
      </c>
      <c r="J1130" s="4">
        <f t="shared" si="115"/>
        <v>-22698941.256653994</v>
      </c>
      <c r="L1130" s="2"/>
    </row>
    <row r="1131" spans="1:12" ht="12.75">
      <c r="A1131" s="14">
        <v>39190</v>
      </c>
      <c r="B1131" s="30" t="s">
        <v>125</v>
      </c>
      <c r="C1131" s="29">
        <f>550695.35*0.2</f>
        <v>110139.07</v>
      </c>
      <c r="D1131" s="46"/>
      <c r="E1131" s="17"/>
      <c r="F1131" s="31"/>
      <c r="G1131" s="31"/>
      <c r="H1131" s="32"/>
      <c r="J1131" s="4">
        <f t="shared" si="115"/>
        <v>-22698941.256653994</v>
      </c>
      <c r="L1131" s="2"/>
    </row>
    <row r="1132" spans="1:12" ht="12.75">
      <c r="A1132" s="14">
        <v>39190</v>
      </c>
      <c r="B1132" s="13" t="s">
        <v>32</v>
      </c>
      <c r="C1132" s="17">
        <f>-C1131</f>
        <v>-110139.07</v>
      </c>
      <c r="D1132" s="46"/>
      <c r="E1132" s="17"/>
      <c r="F1132" s="31"/>
      <c r="G1132" s="31"/>
      <c r="H1132" s="32">
        <f>-C1132</f>
        <v>110139.07</v>
      </c>
      <c r="J1132" s="4">
        <f t="shared" si="115"/>
        <v>-22588802.186653994</v>
      </c>
      <c r="L1132" s="2"/>
    </row>
    <row r="1133" spans="1:12" ht="12.75">
      <c r="A1133" s="14">
        <v>39191</v>
      </c>
      <c r="B1133" s="30" t="s">
        <v>131</v>
      </c>
      <c r="C1133" s="29">
        <f>1588227.05*0.2</f>
        <v>317645.41000000003</v>
      </c>
      <c r="D1133" s="46"/>
      <c r="E1133" s="17"/>
      <c r="F1133" s="31"/>
      <c r="G1133" s="31"/>
      <c r="H1133" s="32"/>
      <c r="J1133" s="4">
        <f t="shared" si="115"/>
        <v>-22588802.186653994</v>
      </c>
      <c r="L1133" s="2"/>
    </row>
    <row r="1134" spans="1:12" ht="12.75">
      <c r="A1134" s="14">
        <v>39191</v>
      </c>
      <c r="B1134" s="13" t="s">
        <v>32</v>
      </c>
      <c r="C1134" s="17">
        <f>-C1133</f>
        <v>-317645.41000000003</v>
      </c>
      <c r="D1134" s="46"/>
      <c r="E1134" s="17"/>
      <c r="F1134" s="31"/>
      <c r="G1134" s="31"/>
      <c r="H1134" s="32">
        <f>-C1134</f>
        <v>317645.41000000003</v>
      </c>
      <c r="J1134" s="4">
        <f t="shared" si="115"/>
        <v>-22271156.776653994</v>
      </c>
      <c r="L1134" s="2"/>
    </row>
    <row r="1135" spans="1:12" ht="12.75">
      <c r="A1135" s="14">
        <v>39191</v>
      </c>
      <c r="B1135" s="30" t="s">
        <v>134</v>
      </c>
      <c r="C1135" s="29">
        <f>4798316.8*0.2</f>
        <v>959663.36</v>
      </c>
      <c r="D1135" s="71"/>
      <c r="E1135" s="32"/>
      <c r="F1135" s="31"/>
      <c r="G1135" s="31"/>
      <c r="H1135" s="32"/>
      <c r="J1135" s="4">
        <f t="shared" si="115"/>
        <v>-22271156.776653994</v>
      </c>
      <c r="L1135" s="2"/>
    </row>
    <row r="1136" spans="1:12" ht="12.75">
      <c r="A1136" s="14">
        <v>39191</v>
      </c>
      <c r="B1136" s="13" t="s">
        <v>32</v>
      </c>
      <c r="C1136" s="17">
        <f>-C1135</f>
        <v>-959663.36</v>
      </c>
      <c r="D1136" s="46"/>
      <c r="E1136" s="17"/>
      <c r="F1136" s="31"/>
      <c r="G1136" s="31"/>
      <c r="H1136" s="32">
        <f>-C1136</f>
        <v>959663.36</v>
      </c>
      <c r="J1136" s="4">
        <f t="shared" si="115"/>
        <v>-21311493.416653994</v>
      </c>
      <c r="L1136" s="2"/>
    </row>
    <row r="1137" spans="1:12" ht="12.75">
      <c r="A1137" s="14">
        <v>39210</v>
      </c>
      <c r="B1137" s="30" t="s">
        <v>140</v>
      </c>
      <c r="C1137" s="29">
        <f>8235630.78*0.2</f>
        <v>1647126.1560000002</v>
      </c>
      <c r="D1137" s="71"/>
      <c r="E1137" s="32"/>
      <c r="F1137" s="31"/>
      <c r="G1137" s="31"/>
      <c r="H1137" s="32"/>
      <c r="J1137" s="4">
        <f t="shared" si="115"/>
        <v>-21311493.416653994</v>
      </c>
      <c r="L1137" s="2"/>
    </row>
    <row r="1138" spans="1:12" ht="12.75">
      <c r="A1138" s="14">
        <v>39210</v>
      </c>
      <c r="B1138" s="13" t="s">
        <v>32</v>
      </c>
      <c r="C1138" s="17">
        <f>-C1137</f>
        <v>-1647126.1560000002</v>
      </c>
      <c r="D1138" s="46"/>
      <c r="E1138" s="17"/>
      <c r="F1138" s="31"/>
      <c r="G1138" s="31"/>
      <c r="H1138" s="32">
        <f>-C1138</f>
        <v>1647126.1560000002</v>
      </c>
      <c r="J1138" s="4">
        <f t="shared" si="115"/>
        <v>-19664367.260653995</v>
      </c>
      <c r="L1138" s="2"/>
    </row>
    <row r="1139" spans="1:12" ht="12.75">
      <c r="A1139" s="14">
        <v>39217</v>
      </c>
      <c r="B1139" s="30" t="s">
        <v>144</v>
      </c>
      <c r="C1139" s="29">
        <f>5923246.27*0.2</f>
        <v>1184649.254</v>
      </c>
      <c r="D1139" s="71"/>
      <c r="E1139" s="32"/>
      <c r="F1139" s="31"/>
      <c r="G1139" s="31"/>
      <c r="H1139" s="32"/>
      <c r="J1139" s="4">
        <f t="shared" si="115"/>
        <v>-19664367.260653995</v>
      </c>
      <c r="L1139" s="2"/>
    </row>
    <row r="1140" spans="1:12" ht="12.75">
      <c r="A1140" s="14">
        <v>39217</v>
      </c>
      <c r="B1140" s="13" t="s">
        <v>32</v>
      </c>
      <c r="C1140" s="17">
        <f>-C1139</f>
        <v>-1184649.254</v>
      </c>
      <c r="D1140" s="46"/>
      <c r="E1140" s="17"/>
      <c r="F1140" s="31"/>
      <c r="G1140" s="31"/>
      <c r="H1140" s="32">
        <f>-C1140</f>
        <v>1184649.254</v>
      </c>
      <c r="J1140" s="4">
        <f t="shared" si="115"/>
        <v>-18479718.006653994</v>
      </c>
      <c r="L1140" s="2"/>
    </row>
    <row r="1141" spans="1:12" ht="12.75">
      <c r="A1141" s="14">
        <v>39231</v>
      </c>
      <c r="B1141" s="30" t="s">
        <v>148</v>
      </c>
      <c r="C1141" s="29">
        <f>(5398084.15)*0.2</f>
        <v>1079616.83</v>
      </c>
      <c r="D1141" s="71"/>
      <c r="E1141" s="32"/>
      <c r="F1141" s="31"/>
      <c r="G1141" s="31"/>
      <c r="H1141" s="32"/>
      <c r="J1141" s="4">
        <f t="shared" si="115"/>
        <v>-18479718.006653994</v>
      </c>
      <c r="L1141" s="2"/>
    </row>
    <row r="1142" spans="1:12" ht="12.75">
      <c r="A1142" s="14">
        <v>39231</v>
      </c>
      <c r="B1142" s="13" t="s">
        <v>32</v>
      </c>
      <c r="C1142" s="17">
        <f>-C1141</f>
        <v>-1079616.83</v>
      </c>
      <c r="D1142" s="46"/>
      <c r="E1142" s="17"/>
      <c r="F1142" s="31"/>
      <c r="G1142" s="31"/>
      <c r="H1142" s="32">
        <f>-C1142</f>
        <v>1079616.83</v>
      </c>
      <c r="J1142" s="4">
        <f t="shared" si="115"/>
        <v>-17400101.176653996</v>
      </c>
      <c r="L1142" s="2"/>
    </row>
    <row r="1143" spans="1:12" ht="12.75">
      <c r="A1143" s="14">
        <v>39231</v>
      </c>
      <c r="B1143" s="30" t="s">
        <v>154</v>
      </c>
      <c r="C1143" s="29">
        <f>(54649.6)*0.2</f>
        <v>10929.92</v>
      </c>
      <c r="D1143" s="71"/>
      <c r="E1143" s="32"/>
      <c r="F1143" s="31"/>
      <c r="G1143" s="31"/>
      <c r="H1143" s="32"/>
      <c r="J1143" s="4">
        <f t="shared" si="115"/>
        <v>-17400101.176653996</v>
      </c>
      <c r="L1143" s="2"/>
    </row>
    <row r="1144" spans="1:12" ht="12.75">
      <c r="A1144" s="14">
        <v>39231</v>
      </c>
      <c r="B1144" s="13" t="s">
        <v>32</v>
      </c>
      <c r="C1144" s="17">
        <f>-C1143</f>
        <v>-10929.92</v>
      </c>
      <c r="D1144" s="46"/>
      <c r="E1144" s="17"/>
      <c r="F1144" s="31"/>
      <c r="G1144" s="31"/>
      <c r="H1144" s="32">
        <f>-C1144</f>
        <v>10929.92</v>
      </c>
      <c r="J1144" s="4">
        <f t="shared" si="115"/>
        <v>-17389171.256653994</v>
      </c>
      <c r="L1144" s="2"/>
    </row>
    <row r="1145" spans="1:12" ht="12.75">
      <c r="A1145" s="14">
        <v>39244</v>
      </c>
      <c r="B1145" s="30" t="s">
        <v>161</v>
      </c>
      <c r="C1145" s="29">
        <f>1887221.61*0.2</f>
        <v>377444.32200000004</v>
      </c>
      <c r="D1145" s="71"/>
      <c r="E1145" s="32"/>
      <c r="F1145" s="31"/>
      <c r="G1145" s="31"/>
      <c r="H1145" s="32"/>
      <c r="J1145" s="4">
        <f t="shared" si="115"/>
        <v>-17389171.256653994</v>
      </c>
      <c r="L1145" s="2"/>
    </row>
    <row r="1146" spans="1:12" ht="12.75">
      <c r="A1146" s="14">
        <v>39244</v>
      </c>
      <c r="B1146" s="13" t="s">
        <v>32</v>
      </c>
      <c r="C1146" s="17">
        <f>-C1145</f>
        <v>-377444.32200000004</v>
      </c>
      <c r="D1146" s="46"/>
      <c r="E1146" s="17"/>
      <c r="F1146" s="31"/>
      <c r="G1146" s="31"/>
      <c r="H1146" s="32">
        <f>-C1146</f>
        <v>377444.32200000004</v>
      </c>
      <c r="J1146" s="4">
        <f t="shared" si="115"/>
        <v>-17011726.934653994</v>
      </c>
      <c r="L1146" s="2"/>
    </row>
    <row r="1147" spans="1:12" ht="12.75">
      <c r="A1147" s="14">
        <v>39248</v>
      </c>
      <c r="B1147" s="30" t="s">
        <v>163</v>
      </c>
      <c r="C1147" s="29">
        <f>(3315479.9+5143268.7)*0.2</f>
        <v>1691749.72</v>
      </c>
      <c r="D1147" s="71"/>
      <c r="E1147" s="32"/>
      <c r="F1147" s="31"/>
      <c r="G1147" s="31"/>
      <c r="H1147" s="32"/>
      <c r="J1147" s="4">
        <f t="shared" si="115"/>
        <v>-17011726.934653994</v>
      </c>
      <c r="L1147" s="2"/>
    </row>
    <row r="1148" spans="1:12" ht="12.75">
      <c r="A1148" s="14">
        <v>39248</v>
      </c>
      <c r="B1148" s="13" t="s">
        <v>32</v>
      </c>
      <c r="C1148" s="17">
        <f>-C1147</f>
        <v>-1691749.72</v>
      </c>
      <c r="D1148" s="46"/>
      <c r="E1148" s="17"/>
      <c r="F1148" s="31"/>
      <c r="G1148" s="31"/>
      <c r="H1148" s="32">
        <f>-C1148</f>
        <v>1691749.72</v>
      </c>
      <c r="J1148" s="4">
        <f t="shared" si="115"/>
        <v>-15319977.214653993</v>
      </c>
      <c r="L1148" s="2"/>
    </row>
    <row r="1149" spans="1:12" ht="12.75">
      <c r="A1149" s="14">
        <v>39258</v>
      </c>
      <c r="B1149" s="30" t="s">
        <v>164</v>
      </c>
      <c r="C1149" s="29">
        <f>330303.25*0.2</f>
        <v>66060.65000000001</v>
      </c>
      <c r="D1149" s="71"/>
      <c r="E1149" s="32"/>
      <c r="F1149" s="31"/>
      <c r="G1149" s="31"/>
      <c r="H1149" s="32"/>
      <c r="J1149" s="4">
        <f t="shared" si="115"/>
        <v>-15319977.214653993</v>
      </c>
      <c r="L1149" s="2"/>
    </row>
    <row r="1150" spans="1:12" ht="12.75">
      <c r="A1150" s="14">
        <v>39258</v>
      </c>
      <c r="B1150" s="13" t="s">
        <v>32</v>
      </c>
      <c r="C1150" s="17">
        <f>-C1149</f>
        <v>-66060.65000000001</v>
      </c>
      <c r="D1150" s="46"/>
      <c r="E1150" s="17"/>
      <c r="F1150" s="31"/>
      <c r="G1150" s="31"/>
      <c r="H1150" s="32">
        <f>-C1150</f>
        <v>66060.65000000001</v>
      </c>
      <c r="J1150" s="4">
        <f t="shared" si="115"/>
        <v>-15253916.564653993</v>
      </c>
      <c r="L1150" s="2"/>
    </row>
    <row r="1151" spans="1:12" ht="12.75">
      <c r="A1151" s="14">
        <v>39259</v>
      </c>
      <c r="B1151" s="30" t="s">
        <v>165</v>
      </c>
      <c r="C1151" s="29">
        <f>(1985955.5+2267017.75)*0.2</f>
        <v>850594.65</v>
      </c>
      <c r="D1151" s="71"/>
      <c r="E1151" s="32"/>
      <c r="F1151" s="31"/>
      <c r="G1151" s="31"/>
      <c r="H1151" s="32"/>
      <c r="J1151" s="4">
        <f t="shared" si="115"/>
        <v>-15253916.564653993</v>
      </c>
      <c r="L1151" s="2"/>
    </row>
    <row r="1152" spans="1:12" ht="12.75">
      <c r="A1152" s="14">
        <v>39259</v>
      </c>
      <c r="B1152" s="13" t="s">
        <v>32</v>
      </c>
      <c r="C1152" s="17">
        <f>-C1151</f>
        <v>-850594.65</v>
      </c>
      <c r="D1152" s="46"/>
      <c r="E1152" s="17"/>
      <c r="F1152" s="31"/>
      <c r="G1152" s="31"/>
      <c r="H1152" s="32">
        <f>-C1152</f>
        <v>850594.65</v>
      </c>
      <c r="J1152" s="4">
        <f t="shared" si="115"/>
        <v>-14403321.914653992</v>
      </c>
      <c r="L1152" s="2"/>
    </row>
    <row r="1153" spans="1:12" ht="12.75">
      <c r="A1153" s="14">
        <v>39259</v>
      </c>
      <c r="B1153" s="30" t="s">
        <v>166</v>
      </c>
      <c r="C1153" s="29">
        <f>(2693728.4+2333632.85)*0.2</f>
        <v>1005472.25</v>
      </c>
      <c r="D1153" s="71"/>
      <c r="E1153" s="32"/>
      <c r="F1153" s="31"/>
      <c r="G1153" s="31"/>
      <c r="H1153" s="32"/>
      <c r="J1153" s="4">
        <f t="shared" si="115"/>
        <v>-14403321.914653992</v>
      </c>
      <c r="L1153" s="2"/>
    </row>
    <row r="1154" spans="1:12" ht="12.75">
      <c r="A1154" s="14">
        <v>39259</v>
      </c>
      <c r="B1154" s="13" t="s">
        <v>32</v>
      </c>
      <c r="C1154" s="17">
        <f>-C1153</f>
        <v>-1005472.25</v>
      </c>
      <c r="D1154" s="46"/>
      <c r="E1154" s="17"/>
      <c r="F1154" s="31"/>
      <c r="G1154" s="31"/>
      <c r="H1154" s="32">
        <f>-C1154</f>
        <v>1005472.25</v>
      </c>
      <c r="J1154" s="4">
        <f t="shared" si="115"/>
        <v>-13397849.664653992</v>
      </c>
      <c r="L1154" s="2"/>
    </row>
    <row r="1155" spans="1:12" ht="12.75">
      <c r="A1155" s="14">
        <v>39261</v>
      </c>
      <c r="B1155" s="30" t="s">
        <v>167</v>
      </c>
      <c r="C1155" s="29">
        <f>237386.6*0.2</f>
        <v>47477.32000000001</v>
      </c>
      <c r="D1155" s="71"/>
      <c r="E1155" s="32"/>
      <c r="F1155" s="31"/>
      <c r="G1155" s="31"/>
      <c r="H1155" s="32"/>
      <c r="J1155" s="4">
        <f t="shared" si="115"/>
        <v>-13397849.664653992</v>
      </c>
      <c r="L1155" s="2"/>
    </row>
    <row r="1156" spans="1:12" ht="12.75">
      <c r="A1156" s="14">
        <v>39261</v>
      </c>
      <c r="B1156" s="13" t="s">
        <v>32</v>
      </c>
      <c r="C1156" s="17">
        <f>-C1155</f>
        <v>-47477.32000000001</v>
      </c>
      <c r="D1156" s="46"/>
      <c r="E1156" s="17"/>
      <c r="F1156" s="31"/>
      <c r="G1156" s="31"/>
      <c r="H1156" s="32">
        <f>-C1156</f>
        <v>47477.32000000001</v>
      </c>
      <c r="J1156" s="4">
        <f t="shared" si="115"/>
        <v>-13350372.344653992</v>
      </c>
      <c r="L1156" s="2"/>
    </row>
    <row r="1157" spans="1:12" ht="12.75">
      <c r="A1157" s="14">
        <v>39283</v>
      </c>
      <c r="B1157" s="30" t="s">
        <v>201</v>
      </c>
      <c r="C1157" s="29">
        <f>(1292141.5+4174789.45)*0.2</f>
        <v>1093386.1900000002</v>
      </c>
      <c r="D1157" s="71"/>
      <c r="E1157" s="32"/>
      <c r="F1157" s="31"/>
      <c r="G1157" s="31"/>
      <c r="H1157" s="32"/>
      <c r="J1157" s="4">
        <f t="shared" si="115"/>
        <v>-13350372.344653992</v>
      </c>
      <c r="L1157" s="2"/>
    </row>
    <row r="1158" spans="1:12" ht="12.75">
      <c r="A1158" s="14">
        <v>39283</v>
      </c>
      <c r="B1158" s="13" t="s">
        <v>32</v>
      </c>
      <c r="C1158" s="17">
        <f>-C1157</f>
        <v>-1093386.1900000002</v>
      </c>
      <c r="D1158" s="46"/>
      <c r="E1158" s="17"/>
      <c r="F1158" s="31"/>
      <c r="G1158" s="31"/>
      <c r="H1158" s="32">
        <f>-C1158</f>
        <v>1093386.1900000002</v>
      </c>
      <c r="J1158" s="4">
        <f t="shared" si="115"/>
        <v>-12256986.154653993</v>
      </c>
      <c r="L1158" s="2"/>
    </row>
    <row r="1159" spans="1:12" ht="12.75">
      <c r="A1159" s="14">
        <v>39288</v>
      </c>
      <c r="B1159" s="30" t="s">
        <v>202</v>
      </c>
      <c r="C1159" s="29">
        <f>631678.05*0.2</f>
        <v>126335.61000000002</v>
      </c>
      <c r="D1159" s="71"/>
      <c r="E1159" s="32"/>
      <c r="F1159" s="31"/>
      <c r="G1159" s="31"/>
      <c r="H1159" s="32"/>
      <c r="J1159" s="4">
        <f t="shared" si="115"/>
        <v>-12256986.154653993</v>
      </c>
      <c r="L1159" s="2"/>
    </row>
    <row r="1160" spans="1:12" ht="12.75">
      <c r="A1160" s="14">
        <v>39288</v>
      </c>
      <c r="B1160" s="13" t="s">
        <v>32</v>
      </c>
      <c r="C1160" s="17">
        <f>-C1159</f>
        <v>-126335.61000000002</v>
      </c>
      <c r="D1160" s="46"/>
      <c r="E1160" s="17"/>
      <c r="F1160" s="31"/>
      <c r="G1160" s="31"/>
      <c r="H1160" s="32">
        <f>-C1160</f>
        <v>126335.61000000002</v>
      </c>
      <c r="J1160" s="4">
        <f t="shared" si="115"/>
        <v>-12130650.544653993</v>
      </c>
      <c r="L1160" s="2"/>
    </row>
    <row r="1161" spans="1:12" ht="12.75">
      <c r="A1161" s="14">
        <v>39288</v>
      </c>
      <c r="B1161" s="30" t="s">
        <v>203</v>
      </c>
      <c r="C1161" s="29">
        <f>36192.8*0.2</f>
        <v>7238.560000000001</v>
      </c>
      <c r="D1161" s="71"/>
      <c r="E1161" s="32"/>
      <c r="F1161" s="31"/>
      <c r="G1161" s="31"/>
      <c r="H1161" s="32"/>
      <c r="J1161" s="4">
        <f t="shared" si="115"/>
        <v>-12130650.544653993</v>
      </c>
      <c r="L1161" s="2"/>
    </row>
    <row r="1162" spans="1:12" ht="12.75">
      <c r="A1162" s="14">
        <v>39288</v>
      </c>
      <c r="B1162" s="13" t="s">
        <v>32</v>
      </c>
      <c r="C1162" s="17">
        <f>-C1161</f>
        <v>-7238.560000000001</v>
      </c>
      <c r="D1162" s="46"/>
      <c r="E1162" s="17"/>
      <c r="F1162" s="31"/>
      <c r="G1162" s="31"/>
      <c r="H1162" s="32">
        <f>-C1162</f>
        <v>7238.560000000001</v>
      </c>
      <c r="J1162" s="4">
        <f t="shared" si="115"/>
        <v>-12123411.984653993</v>
      </c>
      <c r="L1162" s="2"/>
    </row>
    <row r="1163" spans="1:12" ht="12.75">
      <c r="A1163" s="14">
        <v>39288</v>
      </c>
      <c r="B1163" s="30" t="s">
        <v>204</v>
      </c>
      <c r="C1163" s="29">
        <f>282379.6*0.2</f>
        <v>56475.92</v>
      </c>
      <c r="D1163" s="71"/>
      <c r="E1163" s="32"/>
      <c r="F1163" s="31"/>
      <c r="G1163" s="31"/>
      <c r="H1163" s="32"/>
      <c r="J1163" s="4">
        <f t="shared" si="115"/>
        <v>-12123411.984653993</v>
      </c>
      <c r="L1163" s="2"/>
    </row>
    <row r="1164" spans="1:12" ht="12.75">
      <c r="A1164" s="14">
        <v>39288</v>
      </c>
      <c r="B1164" s="13" t="s">
        <v>32</v>
      </c>
      <c r="C1164" s="17">
        <f>-C1163</f>
        <v>-56475.92</v>
      </c>
      <c r="D1164" s="46"/>
      <c r="E1164" s="17"/>
      <c r="F1164" s="31"/>
      <c r="G1164" s="31"/>
      <c r="H1164" s="32">
        <f>-C1164</f>
        <v>56475.92</v>
      </c>
      <c r="J1164" s="4">
        <f t="shared" si="115"/>
        <v>-12066936.064653993</v>
      </c>
      <c r="L1164" s="2"/>
    </row>
    <row r="1165" spans="1:12" ht="12.75">
      <c r="A1165" s="14">
        <v>39289</v>
      </c>
      <c r="B1165" s="30" t="s">
        <v>205</v>
      </c>
      <c r="C1165" s="29">
        <f>314514.25*0.2</f>
        <v>62902.850000000006</v>
      </c>
      <c r="D1165" s="71"/>
      <c r="E1165" s="32"/>
      <c r="F1165" s="31"/>
      <c r="G1165" s="31"/>
      <c r="H1165" s="32"/>
      <c r="J1165" s="4">
        <f t="shared" si="115"/>
        <v>-12066936.064653993</v>
      </c>
      <c r="L1165" s="2"/>
    </row>
    <row r="1166" spans="1:12" ht="12.75">
      <c r="A1166" s="14">
        <v>39289</v>
      </c>
      <c r="B1166" s="13" t="s">
        <v>32</v>
      </c>
      <c r="C1166" s="17">
        <f>-C1165</f>
        <v>-62902.850000000006</v>
      </c>
      <c r="D1166" s="46"/>
      <c r="E1166" s="17"/>
      <c r="F1166" s="31"/>
      <c r="G1166" s="31"/>
      <c r="H1166" s="32">
        <f>-C1166</f>
        <v>62902.850000000006</v>
      </c>
      <c r="J1166" s="4">
        <f t="shared" si="115"/>
        <v>-12004033.214653993</v>
      </c>
      <c r="L1166" s="2"/>
    </row>
    <row r="1167" spans="1:12" ht="12.75">
      <c r="A1167" s="14">
        <v>39289</v>
      </c>
      <c r="B1167" s="30" t="s">
        <v>206</v>
      </c>
      <c r="C1167" s="29">
        <f>384723.6*0.2</f>
        <v>76944.72</v>
      </c>
      <c r="D1167" s="71"/>
      <c r="E1167" s="32"/>
      <c r="F1167" s="31"/>
      <c r="G1167" s="31"/>
      <c r="H1167" s="32"/>
      <c r="J1167" s="4">
        <f t="shared" si="115"/>
        <v>-12004033.214653993</v>
      </c>
      <c r="L1167" s="2"/>
    </row>
    <row r="1168" spans="1:12" ht="12.75">
      <c r="A1168" s="14">
        <v>39289</v>
      </c>
      <c r="B1168" s="13" t="s">
        <v>32</v>
      </c>
      <c r="C1168" s="17">
        <f>-C1167</f>
        <v>-76944.72</v>
      </c>
      <c r="D1168" s="46"/>
      <c r="E1168" s="17"/>
      <c r="F1168" s="31"/>
      <c r="G1168" s="31"/>
      <c r="H1168" s="32">
        <f>-C1168</f>
        <v>76944.72</v>
      </c>
      <c r="J1168" s="4">
        <f t="shared" si="115"/>
        <v>-11927088.494653992</v>
      </c>
      <c r="L1168" s="2"/>
    </row>
    <row r="1169" spans="1:12" ht="12.75">
      <c r="A1169" s="14">
        <v>39302</v>
      </c>
      <c r="B1169" s="30" t="s">
        <v>230</v>
      </c>
      <c r="C1169" s="29">
        <f>2434654.1*0.2</f>
        <v>486930.82000000007</v>
      </c>
      <c r="D1169" s="71"/>
      <c r="E1169" s="32"/>
      <c r="F1169" s="31"/>
      <c r="G1169" s="31"/>
      <c r="H1169" s="32"/>
      <c r="J1169" s="4">
        <f aca="true" t="shared" si="116" ref="J1169:J1177">J1168+D1169+E1169+F1169+G1169+H1169+I1169</f>
        <v>-11927088.494653992</v>
      </c>
      <c r="L1169" s="2"/>
    </row>
    <row r="1170" spans="1:12" ht="12.75">
      <c r="A1170" s="14">
        <v>39302</v>
      </c>
      <c r="B1170" s="13" t="s">
        <v>32</v>
      </c>
      <c r="C1170" s="17">
        <f>-C1169</f>
        <v>-486930.82000000007</v>
      </c>
      <c r="D1170" s="46"/>
      <c r="E1170" s="17"/>
      <c r="F1170" s="31"/>
      <c r="G1170" s="31"/>
      <c r="H1170" s="32">
        <f>-C1170</f>
        <v>486930.82000000007</v>
      </c>
      <c r="J1170" s="4">
        <f t="shared" si="116"/>
        <v>-11440157.674653992</v>
      </c>
      <c r="L1170" s="2"/>
    </row>
    <row r="1171" spans="1:12" ht="12.75">
      <c r="A1171" s="14">
        <v>39307</v>
      </c>
      <c r="B1171" s="13" t="s">
        <v>224</v>
      </c>
      <c r="C1171" s="17"/>
      <c r="D1171" s="46"/>
      <c r="E1171" s="17"/>
      <c r="F1171" s="31"/>
      <c r="G1171" s="17">
        <v>-300000</v>
      </c>
      <c r="H1171" s="32"/>
      <c r="J1171" s="4">
        <f t="shared" si="116"/>
        <v>-11740157.674653992</v>
      </c>
      <c r="L1171" s="2"/>
    </row>
    <row r="1172" spans="1:12" ht="12.75">
      <c r="A1172" s="14">
        <v>39316</v>
      </c>
      <c r="B1172" s="30" t="s">
        <v>235</v>
      </c>
      <c r="C1172" s="29">
        <f>351168.25*0.2</f>
        <v>70233.65000000001</v>
      </c>
      <c r="D1172" s="71"/>
      <c r="E1172" s="32"/>
      <c r="F1172" s="31"/>
      <c r="G1172" s="31"/>
      <c r="H1172" s="32"/>
      <c r="J1172" s="4">
        <f t="shared" si="116"/>
        <v>-11740157.674653992</v>
      </c>
      <c r="L1172" s="2"/>
    </row>
    <row r="1173" spans="1:12" ht="12.75">
      <c r="A1173" s="14">
        <v>39316</v>
      </c>
      <c r="B1173" s="13" t="s">
        <v>32</v>
      </c>
      <c r="C1173" s="17">
        <f>-C1172</f>
        <v>-70233.65000000001</v>
      </c>
      <c r="D1173" s="46"/>
      <c r="E1173" s="17"/>
      <c r="F1173" s="31"/>
      <c r="G1173" s="31"/>
      <c r="H1173" s="32">
        <f>-C1173</f>
        <v>70233.65000000001</v>
      </c>
      <c r="J1173" s="4">
        <f t="shared" si="116"/>
        <v>-11669924.024653992</v>
      </c>
      <c r="L1173" s="2"/>
    </row>
    <row r="1174" spans="1:12" ht="12.75">
      <c r="A1174" s="14">
        <v>39316</v>
      </c>
      <c r="B1174" s="30" t="s">
        <v>236</v>
      </c>
      <c r="C1174" s="29">
        <f>445349.7*0.2</f>
        <v>89069.94</v>
      </c>
      <c r="D1174" s="71"/>
      <c r="E1174" s="32"/>
      <c r="F1174" s="31"/>
      <c r="G1174" s="31"/>
      <c r="H1174" s="32"/>
      <c r="J1174" s="4">
        <f t="shared" si="116"/>
        <v>-11669924.024653992</v>
      </c>
      <c r="L1174" s="2"/>
    </row>
    <row r="1175" spans="1:12" ht="12.75">
      <c r="A1175" s="14">
        <v>39316</v>
      </c>
      <c r="B1175" s="13" t="s">
        <v>32</v>
      </c>
      <c r="C1175" s="17">
        <f>-C1174</f>
        <v>-89069.94</v>
      </c>
      <c r="D1175" s="46"/>
      <c r="E1175" s="17"/>
      <c r="F1175" s="31"/>
      <c r="G1175" s="31"/>
      <c r="H1175" s="32">
        <f>-C1175</f>
        <v>89069.94</v>
      </c>
      <c r="J1175" s="4">
        <f t="shared" si="116"/>
        <v>-11580854.084653992</v>
      </c>
      <c r="L1175" s="2"/>
    </row>
    <row r="1176" spans="1:12" ht="12.75">
      <c r="A1176" s="14">
        <v>39316</v>
      </c>
      <c r="B1176" s="30" t="s">
        <v>237</v>
      </c>
      <c r="C1176" s="29">
        <f>560054.95*0.2</f>
        <v>112010.98999999999</v>
      </c>
      <c r="D1176" s="71"/>
      <c r="E1176" s="32"/>
      <c r="F1176" s="31"/>
      <c r="G1176" s="31"/>
      <c r="H1176" s="32"/>
      <c r="J1176" s="4">
        <f t="shared" si="116"/>
        <v>-11580854.084653992</v>
      </c>
      <c r="L1176" s="2"/>
    </row>
    <row r="1177" spans="1:12" ht="12.75">
      <c r="A1177" s="14">
        <v>39316</v>
      </c>
      <c r="B1177" s="13" t="s">
        <v>32</v>
      </c>
      <c r="C1177" s="17">
        <f>-C1176</f>
        <v>-112010.98999999999</v>
      </c>
      <c r="D1177" s="46"/>
      <c r="E1177" s="17"/>
      <c r="F1177" s="31"/>
      <c r="G1177" s="31"/>
      <c r="H1177" s="32">
        <f>-C1177</f>
        <v>112010.98999999999</v>
      </c>
      <c r="J1177" s="4">
        <f t="shared" si="116"/>
        <v>-11468843.094653992</v>
      </c>
      <c r="L1177" s="2"/>
    </row>
    <row r="1178" spans="1:12" ht="12.75">
      <c r="A1178" s="1"/>
      <c r="B1178" s="21"/>
      <c r="C1178" s="12"/>
      <c r="G1178" s="21"/>
      <c r="J1178" s="72">
        <f>J1177+D1178+E1178+F1178+G1178+H1178+I1178</f>
        <v>-11468843.094653992</v>
      </c>
      <c r="L1178" s="2"/>
    </row>
    <row r="1179" spans="1:12" ht="12.75">
      <c r="A1179" s="1"/>
      <c r="B1179" s="21"/>
      <c r="C1179" s="12"/>
      <c r="G1179" s="21"/>
      <c r="J1179" s="2"/>
      <c r="L1179" s="2"/>
    </row>
    <row r="1180" spans="1:12" ht="12.75">
      <c r="A1180" s="1"/>
      <c r="B1180" s="21"/>
      <c r="C1180" s="44"/>
      <c r="G1180" s="21"/>
      <c r="J1180" s="2"/>
      <c r="L1180" s="2"/>
    </row>
    <row r="1181" spans="1:10" ht="12.75">
      <c r="A1181" s="1"/>
      <c r="B1181" s="21"/>
      <c r="C1181" s="12"/>
      <c r="G1181" s="21"/>
      <c r="J1181" s="4"/>
    </row>
    <row r="1182" spans="1:10" ht="12.75">
      <c r="A1182" s="1"/>
      <c r="B1182" s="21"/>
      <c r="C1182" s="12"/>
      <c r="G1182" s="21"/>
      <c r="H1182" s="21"/>
      <c r="J1182" s="4"/>
    </row>
    <row r="1183" spans="1:10" ht="12.75">
      <c r="A1183" s="1"/>
      <c r="B1183" s="21"/>
      <c r="C1183" s="12"/>
      <c r="G1183" s="21"/>
      <c r="H1183" s="21"/>
      <c r="J1183" s="4"/>
    </row>
    <row r="1184" spans="1:12" ht="12.75">
      <c r="A1184" s="10" t="s">
        <v>2</v>
      </c>
      <c r="H1184" s="35"/>
      <c r="J1184" s="2">
        <f>J1052+L1052+J1094+J1178</f>
        <v>-78047735.66558202</v>
      </c>
      <c r="L1184" s="8"/>
    </row>
    <row r="1185" spans="4:12" ht="12.75">
      <c r="D1185" s="19" t="s">
        <v>9</v>
      </c>
      <c r="E1185" s="19" t="s">
        <v>7</v>
      </c>
      <c r="F1185" s="19" t="s">
        <v>8</v>
      </c>
      <c r="G1185" s="19" t="s">
        <v>17</v>
      </c>
      <c r="H1185" s="35"/>
      <c r="I1185" s="11" t="s">
        <v>5</v>
      </c>
      <c r="J1185" s="7"/>
      <c r="L1185" s="73"/>
    </row>
    <row r="1186" spans="2:12" ht="12.75">
      <c r="B1186" s="19" t="s">
        <v>24</v>
      </c>
      <c r="C1186" s="15">
        <f>SUM(C3:C1185)</f>
        <v>0</v>
      </c>
      <c r="D1186" s="15">
        <f>SUM(D4:D1184)</f>
        <v>-81598880.87749998</v>
      </c>
      <c r="E1186" s="15">
        <f>SUM(E4:E1184)</f>
        <v>-12573036.4</v>
      </c>
      <c r="F1186" s="15">
        <f>SUM(F4:F1184)</f>
        <v>-2415437.0100000002</v>
      </c>
      <c r="G1186" s="15">
        <f>SUM(G4:G1184)</f>
        <v>-4027988.6600000006</v>
      </c>
      <c r="H1186" s="15"/>
      <c r="I1186" s="26">
        <f>SUM(I3:I1185)</f>
        <v>0</v>
      </c>
      <c r="J1186" s="21">
        <f>D1186+E1186+F1186+G1186+L1186</f>
        <v>-100615342.94749999</v>
      </c>
      <c r="L1186" s="51"/>
    </row>
    <row r="1187" spans="4:10" ht="12.75">
      <c r="D1187" s="12"/>
      <c r="E1187" s="12"/>
      <c r="F1187" s="12"/>
      <c r="G1187" s="11"/>
      <c r="H1187" s="11"/>
      <c r="I1187" s="11"/>
      <c r="J1187" s="21"/>
    </row>
    <row r="1188" spans="2:4" ht="12.75">
      <c r="B1188" s="44"/>
      <c r="D1188" s="21"/>
    </row>
    <row r="1189" spans="2:10" ht="12.75">
      <c r="B1189" s="44"/>
      <c r="C1189" s="43"/>
      <c r="D1189" s="43"/>
      <c r="E1189" s="21"/>
      <c r="F1189" s="21"/>
      <c r="G1189" s="21"/>
      <c r="H1189" s="21"/>
      <c r="I1189" s="21"/>
      <c r="J1189" s="41"/>
    </row>
    <row r="1190" spans="2:10" ht="12.75">
      <c r="B1190" s="45">
        <v>2005</v>
      </c>
      <c r="C1190" s="43"/>
      <c r="D1190" s="38"/>
      <c r="E1190" s="37"/>
      <c r="F1190" s="38"/>
      <c r="G1190" s="27"/>
      <c r="H1190" s="18"/>
      <c r="I1190" s="46"/>
      <c r="J1190" s="42"/>
    </row>
    <row r="1191" spans="2:10" ht="12.75">
      <c r="B1191" s="27" t="s">
        <v>6</v>
      </c>
      <c r="C1191" s="27"/>
      <c r="D1191" s="38"/>
      <c r="E1191" s="37">
        <f>J1052+L1052+J1178-E1192-E1193</f>
        <v>-54507682.95983201</v>
      </c>
      <c r="F1191" s="27" t="s">
        <v>151</v>
      </c>
      <c r="G1191" s="28"/>
      <c r="I1191" s="22"/>
      <c r="J1191" s="74"/>
    </row>
    <row r="1192" spans="2:9" ht="12.75">
      <c r="B1192" s="27" t="s">
        <v>8</v>
      </c>
      <c r="C1192" s="27"/>
      <c r="D1192" s="27"/>
      <c r="E1192" s="37">
        <f>G1186</f>
        <v>-4027988.6600000006</v>
      </c>
      <c r="F1192" s="27" t="s">
        <v>38</v>
      </c>
      <c r="G1192" s="28"/>
      <c r="I1192" s="22"/>
    </row>
    <row r="1193" spans="2:12" ht="12.75">
      <c r="B1193" s="27" t="s">
        <v>7</v>
      </c>
      <c r="C1193" s="27"/>
      <c r="D1193" s="27"/>
      <c r="E1193" s="37">
        <f>E1186</f>
        <v>-12573036.4</v>
      </c>
      <c r="F1193" s="27" t="s">
        <v>31</v>
      </c>
      <c r="G1193" s="28"/>
      <c r="I1193" s="22"/>
      <c r="L1193" s="82"/>
    </row>
    <row r="1194" spans="2:9" ht="12.75">
      <c r="B1194" s="27" t="s">
        <v>15</v>
      </c>
      <c r="C1194" s="27"/>
      <c r="D1194" s="27"/>
      <c r="E1194" s="65">
        <f>J1094</f>
        <v>-6939027.645749999</v>
      </c>
      <c r="F1194" s="27" t="s">
        <v>16</v>
      </c>
      <c r="G1194" s="28"/>
      <c r="I1194" s="22"/>
    </row>
    <row r="1195" spans="2:8" ht="12.75">
      <c r="B1195" s="40"/>
      <c r="C1195" s="40"/>
      <c r="D1195" s="50"/>
      <c r="E1195" s="52">
        <f>SUM(E1191:E1194)</f>
        <v>-78047735.66558202</v>
      </c>
      <c r="F1195" s="27"/>
      <c r="G1195" s="27"/>
      <c r="H1195" s="18"/>
    </row>
    <row r="1196" spans="2:8" ht="12.75">
      <c r="B1196" s="40"/>
      <c r="C1196" s="40"/>
      <c r="D1196" s="27"/>
      <c r="E1196" s="39"/>
      <c r="F1196" s="27"/>
      <c r="G1196" s="27"/>
      <c r="H1196" s="18"/>
    </row>
  </sheetData>
  <printOptions gridLines="1"/>
  <pageMargins left="0" right="0" top="0.5" bottom="0.5" header="0.25" footer="0.25"/>
  <pageSetup fitToHeight="100" fitToWidth="1" horizontalDpi="600" verticalDpi="600" orientation="landscape" scale="77" r:id="rId1"/>
  <headerFooter alignWithMargins="0">
    <oddHeader>&amp;C&amp;"Arial,Bold"VR Financing</oddHeader>
    <oddFooter>&amp;CPage &amp;P of &amp;N</oddFooter>
  </headerFooter>
  <ignoredErrors>
    <ignoredError sqref="C243 C155 C1145 C61 C500 C1127 C1125 C1123 C1121 C1119 C1117 C1115 C1141 C1143 C1109 C1167 C1105 C1135 C1131 C1133 C1129 C1137 C1139 C63 C1107 C1147 C1149 C1151 C1153 C1155 C1157 C1159 C1161 C1163 C11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Global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AllaD</dc:creator>
  <cp:keywords/>
  <dc:description/>
  <cp:lastModifiedBy> </cp:lastModifiedBy>
  <cp:lastPrinted>2007-08-03T21:15:44Z</cp:lastPrinted>
  <dcterms:created xsi:type="dcterms:W3CDTF">2004-04-23T19:17:40Z</dcterms:created>
  <dcterms:modified xsi:type="dcterms:W3CDTF">2007-08-26T00:02:31Z</dcterms:modified>
  <cp:category/>
  <cp:version/>
  <cp:contentType/>
  <cp:contentStatus/>
</cp:coreProperties>
</file>